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DATA\LOTUSDAT\skov\Publicaties\JAARVERSLAGEN\"/>
    </mc:Choice>
  </mc:AlternateContent>
  <bookViews>
    <workbookView xWindow="0" yWindow="0" windowWidth="28800" windowHeight="10995"/>
  </bookViews>
  <sheets>
    <sheet name="Blad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59" i="1" l="1"/>
  <c r="Q57" i="1" l="1"/>
  <c r="Q53" i="1"/>
  <c r="K44" i="1" l="1"/>
  <c r="P31" i="1" l="1"/>
  <c r="P32" i="1"/>
  <c r="P33" i="1"/>
  <c r="P34" i="1"/>
  <c r="P35" i="1"/>
  <c r="P36" i="1"/>
  <c r="P37" i="1"/>
  <c r="P38" i="1"/>
  <c r="P39" i="1"/>
  <c r="P30" i="1"/>
  <c r="P28" i="1"/>
  <c r="E11" i="1"/>
  <c r="E10" i="1" l="1"/>
  <c r="J35" i="1"/>
  <c r="K35" i="1" s="1"/>
  <c r="G17" i="1"/>
  <c r="G18" i="1"/>
  <c r="H38" i="1"/>
  <c r="J38" i="1" s="1"/>
  <c r="H37" i="1"/>
  <c r="J37" i="1" s="1"/>
  <c r="K37" i="1" s="1"/>
  <c r="H36" i="1"/>
  <c r="J36" i="1" s="1"/>
  <c r="K36" i="1" s="1"/>
  <c r="H35" i="1"/>
  <c r="H34" i="1"/>
  <c r="J34" i="1" s="1"/>
  <c r="K34" i="1" s="1"/>
  <c r="H20" i="1"/>
  <c r="H21" i="1"/>
  <c r="H19" i="1"/>
  <c r="H16" i="1"/>
  <c r="H15" i="1"/>
  <c r="H14" i="1"/>
  <c r="H13" i="1"/>
  <c r="H12" i="1"/>
  <c r="H11" i="1"/>
  <c r="O36" i="1" l="1"/>
  <c r="Q36" i="1" s="1"/>
  <c r="F36" i="1"/>
  <c r="F58" i="1"/>
  <c r="N34" i="1"/>
  <c r="O34" i="1" s="1"/>
  <c r="Q34" i="1" s="1"/>
  <c r="N37" i="1"/>
  <c r="O37" i="1" s="1"/>
  <c r="Q37" i="1" s="1"/>
  <c r="N36" i="1"/>
  <c r="N35" i="1"/>
  <c r="O35" i="1" s="1"/>
  <c r="Q35" i="1" s="1"/>
  <c r="N39" i="1" l="1"/>
  <c r="N38" i="1"/>
  <c r="K41" i="1"/>
  <c r="K38" i="1"/>
  <c r="K39" i="1"/>
  <c r="K40" i="1"/>
  <c r="O38" i="1" l="1"/>
  <c r="Q38" i="1" s="1"/>
  <c r="O39" i="1"/>
  <c r="Q39" i="1" s="1"/>
  <c r="S16" i="1"/>
  <c r="S19" i="1"/>
  <c r="S20" i="1"/>
  <c r="S21" i="1"/>
  <c r="S22" i="1"/>
  <c r="S23" i="1"/>
  <c r="S24" i="1"/>
  <c r="S25" i="1"/>
  <c r="S26" i="1"/>
  <c r="S27" i="1"/>
  <c r="S15" i="1"/>
  <c r="S14" i="1"/>
  <c r="S13" i="1"/>
  <c r="S12" i="1"/>
  <c r="P42" i="1"/>
  <c r="P44" i="1"/>
  <c r="O42" i="1"/>
  <c r="N33" i="1"/>
  <c r="N32" i="1"/>
  <c r="N31" i="1"/>
  <c r="N30" i="1"/>
  <c r="N29" i="1"/>
  <c r="N28" i="1"/>
  <c r="K13" i="1"/>
  <c r="K14" i="1"/>
  <c r="K15" i="1"/>
  <c r="K16" i="1"/>
  <c r="G16" i="1" s="1"/>
  <c r="K19" i="1"/>
  <c r="K20" i="1"/>
  <c r="K21" i="1"/>
  <c r="K22" i="1"/>
  <c r="K23" i="1"/>
  <c r="K24" i="1"/>
  <c r="K25" i="1"/>
  <c r="K26" i="1"/>
  <c r="K27" i="1"/>
  <c r="K28" i="1"/>
  <c r="K29" i="1"/>
  <c r="K30" i="1"/>
  <c r="K31" i="1"/>
  <c r="K32" i="1"/>
  <c r="K33" i="1"/>
  <c r="K12" i="1"/>
  <c r="K11" i="1"/>
  <c r="E30" i="1" l="1"/>
  <c r="E26" i="1"/>
  <c r="E14" i="1"/>
  <c r="E31" i="1"/>
  <c r="E23" i="1"/>
  <c r="E19" i="1"/>
  <c r="G12" i="1"/>
  <c r="E12" i="1" s="1"/>
  <c r="G32" i="1"/>
  <c r="E32" i="1" s="1"/>
  <c r="G19" i="1"/>
  <c r="G22" i="1"/>
  <c r="E22" i="1" s="1"/>
  <c r="G21" i="1"/>
  <c r="E21" i="1" s="1"/>
  <c r="G20" i="1"/>
  <c r="E20" i="1" s="1"/>
  <c r="G30" i="1"/>
  <c r="G13" i="1"/>
  <c r="E13" i="1" s="1"/>
  <c r="G11" i="1"/>
  <c r="G33" i="1"/>
  <c r="E33" i="1" s="1"/>
  <c r="G31" i="1"/>
  <c r="G29" i="1"/>
  <c r="E29" i="1" s="1"/>
  <c r="O28" i="1"/>
  <c r="Q28" i="1" s="1"/>
  <c r="G28" i="1"/>
  <c r="E28" i="1" s="1"/>
  <c r="G23" i="1"/>
  <c r="G15" i="1"/>
  <c r="E15" i="1" s="1"/>
  <c r="G14" i="1"/>
  <c r="G27" i="1"/>
  <c r="E27" i="1" s="1"/>
  <c r="G26" i="1"/>
  <c r="G25" i="1"/>
  <c r="E25" i="1" s="1"/>
  <c r="G24" i="1"/>
  <c r="E24" i="1" s="1"/>
  <c r="O32" i="1"/>
  <c r="Q32" i="1" s="1"/>
  <c r="O30" i="1"/>
  <c r="Q30" i="1" s="1"/>
  <c r="Q42" i="1"/>
  <c r="O31" i="1"/>
  <c r="Q31" i="1" s="1"/>
  <c r="O29" i="1"/>
  <c r="Q29" i="1" s="1"/>
  <c r="O33" i="1"/>
  <c r="Q33" i="1" s="1"/>
  <c r="E45" i="1" l="1"/>
  <c r="N44" i="1" s="1"/>
  <c r="N45" i="1" l="1"/>
  <c r="O44" i="1"/>
  <c r="Q44" i="1" l="1"/>
  <c r="Q45" i="1" s="1"/>
  <c r="O45" i="1"/>
</calcChain>
</file>

<file path=xl/sharedStrings.xml><?xml version="1.0" encoding="utf-8"?>
<sst xmlns="http://schemas.openxmlformats.org/spreadsheetml/2006/main" count="83" uniqueCount="68">
  <si>
    <t>Jaarverslag SKOV</t>
  </si>
  <si>
    <t>Moet zijn</t>
  </si>
  <si>
    <t>Stand reserve voor salarissen</t>
  </si>
  <si>
    <t>Stand totale reserve DBC</t>
  </si>
  <si>
    <t>Algemene reserve publiek PO + VO door behaalde rente</t>
  </si>
  <si>
    <t>Totale reserve DBC</t>
  </si>
  <si>
    <t>Algemene vrije reserve</t>
  </si>
  <si>
    <t>50% aandeel in algemene reserve bestuur</t>
  </si>
  <si>
    <t>Totale reserve DBC incl. 50% aandeel vrije reserve bestuur</t>
  </si>
  <si>
    <t>Verschil</t>
  </si>
  <si>
    <t>Jaar</t>
  </si>
  <si>
    <t>Aantal leerlingen</t>
  </si>
  <si>
    <t>let op toevoeging jaarlijkse rente. Deposito's met hoge bedragen leveren 3% op.</t>
  </si>
  <si>
    <t>Verschil algemene vrije reserve t.o.v. vorig jaar</t>
  </si>
  <si>
    <t>resultaat</t>
  </si>
  <si>
    <t>DBC</t>
  </si>
  <si>
    <t>rente DBC</t>
  </si>
  <si>
    <t>afschrijving</t>
  </si>
  <si>
    <t>reserve</t>
  </si>
  <si>
    <t>PO+VO</t>
  </si>
  <si>
    <t>computers</t>
  </si>
  <si>
    <t>kolom E</t>
  </si>
  <si>
    <t>kolom D</t>
  </si>
  <si>
    <t>alleen totaal van PO + VO bekend</t>
  </si>
  <si>
    <t>kolom B</t>
  </si>
  <si>
    <t>afschrijvng per jaar</t>
  </si>
  <si>
    <t>In de tekst moet een aanpassing plaatsvinden mbt plotselinge aanpassing van de reserve in 2021.</t>
  </si>
  <si>
    <t>De oorzaak hiervan is dat er meer rijksvergoeding is ontvangen dan is uitgegeven.</t>
  </si>
  <si>
    <t>gewerkt kan worden.</t>
  </si>
  <si>
    <t>reserve PO</t>
  </si>
  <si>
    <t>Stand exploitatiereserve algemeen DBC</t>
  </si>
  <si>
    <t>behaalde rente</t>
  </si>
  <si>
    <t>rente</t>
  </si>
  <si>
    <t>tm 1992</t>
  </si>
  <si>
    <t>rente aandeel</t>
  </si>
  <si>
    <t>inbreng vermogen speciaal onderwijs</t>
  </si>
  <si>
    <t>Conclusies die je kunt trekken o.b.v. bovenstaande cijfers</t>
  </si>
  <si>
    <t>1. Het leerlingenaantal van 900-1200 kan niet als argument gebruikt worden inzake een verslechterde financiële situatie. In het verleden is met die aantallen zelfs geld overgebleven.</t>
  </si>
  <si>
    <t>3. Het huidige vermogen van het DBC overschrijdt ruimschoots de minimaal gestelde buffer vanuit het Rijk. Ook dit kan zodoende niet als argument gebruikt worden</t>
  </si>
  <si>
    <t xml:space="preserve">Subargument: het SKOV-bestuur geeft aan dat het overdragen van het DBC aan het Atlas College zorgt voor beter onderwijs. Je hebt geen (foutief beargumenteerde) fusie nodig voor beter onderwijs, samenwerken volstaat. Niemand weerspreekt de roep voor beter (technisch) onderwijs. </t>
  </si>
  <si>
    <t>4. Het verzuimen van het indienen van een sociaal plan (2x) à 1,5 miljoen per keer heeft het SKOV-bestuur onterecht ten laste gelegd van de exploitatie van het DBC, waardoor het DBC financieel in een slechter daglicht komt. Deze bestuurlijke fouten zouden anders geboekt moeten worden, en niet ten laste van de leerlingen mogen komen</t>
  </si>
  <si>
    <t>5. De overhead-kosten uit de bestuurlijke (gecreëerde) laag zijn 800.000 euro per jaar hoger dan in het verleden. Dit is disproportioneel en zou niet ten laste mogen komen van de exploitatie van het DBC</t>
  </si>
  <si>
    <t>6. De voorzieningen die gecreëerd worden zijn onnodig en onterecht, gezien het Rijk de afschrijving per jaar vergoed. Door een voorziening te treffen daalt het vermogen van het DBC (onterect), waardoor ze in een slechter financieel daglicht komt</t>
  </si>
  <si>
    <t>EXTRA INZET PERSONEEL</t>
  </si>
  <si>
    <t>Huisvesting Blokwhere</t>
  </si>
  <si>
    <t>Kosten 18 leslokalen ten last van onderhoud geboekt</t>
  </si>
  <si>
    <t>Euro</t>
  </si>
  <si>
    <t>jaar</t>
  </si>
  <si>
    <t>Aandeel DBC  algemene reserve publiek VO + PO door behaalde rente</t>
  </si>
  <si>
    <t xml:space="preserve">Kosten 18 leslokalen ten laste van </t>
  </si>
  <si>
    <t>onderhoud geboekt</t>
  </si>
  <si>
    <t>gecorrigeerde reserve</t>
  </si>
  <si>
    <r>
      <rPr>
        <b/>
        <sz val="18"/>
        <color theme="1"/>
        <rFont val="Calibri"/>
        <family val="2"/>
        <scheme val="minor"/>
      </rPr>
      <t>Eindconclusie:</t>
    </r>
    <r>
      <rPr>
        <sz val="18"/>
        <color theme="1"/>
        <rFont val="Calibri"/>
        <family val="2"/>
        <scheme val="minor"/>
      </rPr>
      <t xml:space="preserve"> het DBC onderbrengen in het Atlas College is op basis van de cijfers, het leerlingenaantal en de prognoses niet noodzakelijk, het is een keuze die het bestuur maakt. De vraag is: waarom zou je dat willen? </t>
    </r>
  </si>
  <si>
    <t>pm</t>
  </si>
  <si>
    <t>aandeel in reserve bestuur 50%</t>
  </si>
  <si>
    <t>saldo reserve DBC 31-12-22</t>
  </si>
  <si>
    <t xml:space="preserve">2. Het SKOV-bestuur heeft bewust een andere splitsing van de gelden tussen VO en PO gehanteerd, ten nadele van het DBC. De originele, jarenlang gehanteerde verdeling van 40% PO/60% VO (DBC) is veranderd waardoor het DBC er slechter voor staat </t>
  </si>
  <si>
    <t>afschrijving 18 onnodige les-</t>
  </si>
  <si>
    <t>onnodige Huisvesting Blokwhere</t>
  </si>
  <si>
    <t>lokalen 2018 tm 2022 6 x€ 194000</t>
  </si>
  <si>
    <t>Onterecht ontslag ICT-er</t>
  </si>
  <si>
    <t>Onterecht ontslag ex-hoofd stafbureau</t>
  </si>
  <si>
    <t>zie de jaarrekeningen 2018 tm 2022 en ook nog 2023</t>
  </si>
  <si>
    <t>zie jaarverslag 2018 blz 10, 48 en 52</t>
  </si>
  <si>
    <t>zie jaarrekening 2015 blz 38</t>
  </si>
  <si>
    <t>onnodige verbouwing kooklokalen</t>
  </si>
  <si>
    <t xml:space="preserve">Het lijkt erop dat er door een bezuiniging op het onderwijs ondersteunend personeel en op het bestuurskantoor probleemloos met een positief resultaat </t>
  </si>
  <si>
    <t>PM</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</si>
</sst>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 #,##0_ ;_ * \-#,##0_ ;_ * &quot;-&quot;_ ;_ @_ "/>
    <numFmt numFmtId="44" formatCode="_ &quot;€&quot;\ * #,##0.00_ ;_ &quot;€&quot;\ * \-#,##0.00_ ;_ &quot;€&quot;\ * &quot;-&quot;??_ ;_ @_ "/>
    <numFmt numFmtId="164" formatCode="#,##0_ ;\-#,##0\ "/>
  </numFmts>
  <fonts count="8" x14ac:knownFonts="1">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sz val="14"/>
      <color theme="1"/>
      <name val="Calibri"/>
      <family val="2"/>
      <scheme val="minor"/>
    </font>
    <font>
      <b/>
      <sz val="18"/>
      <color theme="1"/>
      <name val="Calibri"/>
      <family val="2"/>
      <scheme val="minor"/>
    </font>
    <font>
      <sz val="18"/>
      <color theme="1"/>
      <name val="Calibri"/>
      <family val="2"/>
      <scheme val="minor"/>
    </font>
    <font>
      <b/>
      <sz val="12"/>
      <color rgb="FFFF0000"/>
      <name val="Calibri"/>
      <family val="2"/>
      <scheme val="minor"/>
    </font>
  </fonts>
  <fills count="7">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rgb="FF00B0F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s>
  <cellStyleXfs count="1">
    <xf numFmtId="0" fontId="0" fillId="0" borderId="0"/>
  </cellStyleXfs>
  <cellXfs count="90">
    <xf numFmtId="0" fontId="0" fillId="0" borderId="0" xfId="0"/>
    <xf numFmtId="0" fontId="0" fillId="0" borderId="0" xfId="0" applyAlignment="1">
      <alignment horizontal="center"/>
    </xf>
    <xf numFmtId="44" fontId="0" fillId="0" borderId="0" xfId="0" applyNumberFormat="1"/>
    <xf numFmtId="0" fontId="0" fillId="0" borderId="0" xfId="0" applyFill="1" applyBorder="1"/>
    <xf numFmtId="44" fontId="0" fillId="0" borderId="0" xfId="0" applyNumberFormat="1" applyFont="1" applyFill="1" applyBorder="1"/>
    <xf numFmtId="44" fontId="1" fillId="0" borderId="0" xfId="0" applyNumberFormat="1" applyFont="1" applyFill="1" applyBorder="1"/>
    <xf numFmtId="0" fontId="3" fillId="0" borderId="0" xfId="0" applyFont="1"/>
    <xf numFmtId="44" fontId="3" fillId="0" borderId="0" xfId="0" applyNumberFormat="1" applyFont="1"/>
    <xf numFmtId="0" fontId="3" fillId="0" borderId="0" xfId="0" applyFont="1" applyAlignment="1">
      <alignment horizontal="center"/>
    </xf>
    <xf numFmtId="0" fontId="6" fillId="0" borderId="0" xfId="0" applyFont="1" applyAlignment="1">
      <alignment horizontal="center" shrinkToFit="1"/>
    </xf>
    <xf numFmtId="0" fontId="6" fillId="0" borderId="0" xfId="0" applyFont="1" applyAlignment="1">
      <alignment shrinkToFit="1"/>
    </xf>
    <xf numFmtId="44" fontId="6" fillId="0" borderId="0" xfId="0" applyNumberFormat="1" applyFont="1" applyAlignment="1">
      <alignment shrinkToFit="1"/>
    </xf>
    <xf numFmtId="0" fontId="6" fillId="0" borderId="0" xfId="0" applyFont="1" applyAlignment="1">
      <alignment horizontal="left" shrinkToFit="1"/>
    </xf>
    <xf numFmtId="0" fontId="4" fillId="0" borderId="0" xfId="0" applyFont="1" applyAlignment="1">
      <alignment horizontal="center"/>
    </xf>
    <xf numFmtId="0" fontId="4" fillId="0" borderId="0" xfId="0" applyFont="1"/>
    <xf numFmtId="0" fontId="4" fillId="0" borderId="0" xfId="0" applyFont="1" applyAlignment="1">
      <alignment horizontal="left"/>
    </xf>
    <xf numFmtId="0" fontId="4" fillId="2" borderId="0" xfId="0" applyFont="1" applyFill="1"/>
    <xf numFmtId="0" fontId="0" fillId="0" borderId="0" xfId="0" applyAlignment="1"/>
    <xf numFmtId="0" fontId="4" fillId="0" borderId="0" xfId="0" applyFont="1" applyAlignment="1"/>
    <xf numFmtId="164" fontId="4" fillId="0" borderId="0" xfId="0" applyNumberFormat="1" applyFont="1" applyAlignment="1"/>
    <xf numFmtId="164" fontId="4" fillId="0" borderId="12" xfId="0" applyNumberFormat="1" applyFont="1" applyBorder="1" applyAlignment="1"/>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0" xfId="0" applyFont="1" applyAlignment="1">
      <alignment horizontal="center" vertical="center" wrapText="1"/>
    </xf>
    <xf numFmtId="0" fontId="3" fillId="0" borderId="0" xfId="0" applyFont="1" applyAlignment="1"/>
    <xf numFmtId="0" fontId="2" fillId="0" borderId="0" xfId="0" applyFont="1" applyAlignment="1">
      <alignment horizontal="center"/>
    </xf>
    <xf numFmtId="41" fontId="3" fillId="0" borderId="0" xfId="0" applyNumberFormat="1" applyFont="1" applyAlignment="1"/>
    <xf numFmtId="1" fontId="3" fillId="0" borderId="0" xfId="0" applyNumberFormat="1" applyFont="1" applyAlignment="1">
      <alignment horizontal="center"/>
    </xf>
    <xf numFmtId="41" fontId="2" fillId="0" borderId="0" xfId="0" applyNumberFormat="1" applyFont="1" applyAlignment="1">
      <alignment horizontal="center"/>
    </xf>
    <xf numFmtId="1" fontId="2" fillId="0" borderId="0" xfId="0" applyNumberFormat="1" applyFont="1" applyAlignment="1">
      <alignment horizontal="center"/>
    </xf>
    <xf numFmtId="1" fontId="3" fillId="0" borderId="1" xfId="0" applyNumberFormat="1" applyFont="1" applyBorder="1" applyAlignment="1">
      <alignment vertical="center"/>
    </xf>
    <xf numFmtId="1" fontId="3" fillId="0" borderId="1" xfId="0" applyNumberFormat="1" applyFont="1" applyBorder="1"/>
    <xf numFmtId="44" fontId="3" fillId="0" borderId="0" xfId="0" applyNumberFormat="1" applyFont="1" applyAlignment="1">
      <alignment vertical="center"/>
    </xf>
    <xf numFmtId="164" fontId="3" fillId="0" borderId="0" xfId="0" applyNumberFormat="1" applyFont="1"/>
    <xf numFmtId="1" fontId="3" fillId="0" borderId="0" xfId="0" applyNumberFormat="1" applyFont="1" applyAlignment="1">
      <alignment vertical="center"/>
    </xf>
    <xf numFmtId="1" fontId="3" fillId="0" borderId="2" xfId="0" applyNumberFormat="1" applyFont="1" applyBorder="1" applyAlignment="1">
      <alignment vertical="center"/>
    </xf>
    <xf numFmtId="0" fontId="2" fillId="0" borderId="0" xfId="0" applyFont="1" applyAlignment="1"/>
    <xf numFmtId="0" fontId="7" fillId="0" borderId="0" xfId="0" applyFont="1" applyAlignment="1"/>
    <xf numFmtId="1" fontId="3" fillId="2" borderId="2" xfId="0" applyNumberFormat="1" applyFont="1" applyFill="1" applyBorder="1"/>
    <xf numFmtId="1" fontId="3" fillId="0" borderId="0" xfId="0" applyNumberFormat="1" applyFont="1"/>
    <xf numFmtId="1" fontId="3" fillId="0" borderId="0" xfId="0" applyNumberFormat="1" applyFont="1" applyBorder="1"/>
    <xf numFmtId="1" fontId="2" fillId="0" borderId="3" xfId="0" applyNumberFormat="1" applyFont="1" applyBorder="1"/>
    <xf numFmtId="1" fontId="2" fillId="0" borderId="0" xfId="0" applyNumberFormat="1" applyFont="1" applyBorder="1"/>
    <xf numFmtId="1" fontId="3" fillId="3" borderId="1" xfId="0" applyNumberFormat="1" applyFont="1" applyFill="1" applyBorder="1" applyAlignment="1">
      <alignment vertical="center"/>
    </xf>
    <xf numFmtId="1" fontId="3" fillId="3" borderId="1" xfId="0" applyNumberFormat="1" applyFont="1" applyFill="1" applyBorder="1"/>
    <xf numFmtId="1" fontId="2" fillId="0" borderId="0" xfId="0" applyNumberFormat="1" applyFont="1" applyAlignment="1"/>
    <xf numFmtId="164" fontId="2" fillId="0" borderId="0" xfId="0" applyNumberFormat="1" applyFont="1" applyAlignment="1">
      <alignment horizontal="center"/>
    </xf>
    <xf numFmtId="1" fontId="2" fillId="0" borderId="2" xfId="0" applyNumberFormat="1" applyFont="1" applyBorder="1" applyAlignment="1">
      <alignment horizontal="center" vertical="center"/>
    </xf>
    <xf numFmtId="41" fontId="3" fillId="4" borderId="0" xfId="0" applyNumberFormat="1" applyFont="1" applyFill="1" applyAlignment="1">
      <alignment horizontal="center"/>
    </xf>
    <xf numFmtId="0" fontId="3" fillId="4" borderId="7" xfId="0" applyFont="1" applyFill="1" applyBorder="1" applyAlignment="1">
      <alignment horizontal="center" wrapText="1"/>
    </xf>
    <xf numFmtId="0" fontId="4" fillId="4" borderId="0" xfId="0" applyFont="1" applyFill="1"/>
    <xf numFmtId="1" fontId="3" fillId="4" borderId="2" xfId="0" applyNumberFormat="1" applyFont="1" applyFill="1" applyBorder="1" applyAlignment="1">
      <alignment vertical="center"/>
    </xf>
    <xf numFmtId="1" fontId="3" fillId="5" borderId="2" xfId="0" applyNumberFormat="1" applyFont="1" applyFill="1" applyBorder="1" applyAlignment="1">
      <alignment vertical="center"/>
    </xf>
    <xf numFmtId="0" fontId="4" fillId="5" borderId="0" xfId="0" applyFont="1" applyFill="1"/>
    <xf numFmtId="1" fontId="3" fillId="3" borderId="2" xfId="0" applyNumberFormat="1" applyFont="1" applyFill="1" applyBorder="1" applyAlignment="1">
      <alignment vertical="center"/>
    </xf>
    <xf numFmtId="1" fontId="3" fillId="3" borderId="2" xfId="0" applyNumberFormat="1" applyFont="1" applyFill="1" applyBorder="1"/>
    <xf numFmtId="1" fontId="3" fillId="6" borderId="1" xfId="0" applyNumberFormat="1" applyFont="1" applyFill="1" applyBorder="1"/>
    <xf numFmtId="0" fontId="4" fillId="6" borderId="0" xfId="0" applyFont="1" applyFill="1"/>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44" fontId="3" fillId="0" borderId="6" xfId="0" applyNumberFormat="1" applyFont="1" applyBorder="1" applyAlignment="1">
      <alignment horizontal="center" wrapText="1"/>
    </xf>
    <xf numFmtId="44" fontId="3" fillId="0" borderId="7" xfId="0" applyNumberFormat="1" applyFont="1" applyBorder="1" applyAlignment="1">
      <alignment horizontal="center" wrapText="1"/>
    </xf>
    <xf numFmtId="44" fontId="3" fillId="0" borderId="8" xfId="0" applyNumberFormat="1" applyFont="1" applyBorder="1" applyAlignment="1">
      <alignment horizontal="center" wrapText="1"/>
    </xf>
    <xf numFmtId="0" fontId="3" fillId="4" borderId="9" xfId="0" applyFont="1" applyFill="1" applyBorder="1" applyAlignment="1">
      <alignment horizontal="center" wrapText="1"/>
    </xf>
    <xf numFmtId="0" fontId="3" fillId="4" borderId="10" xfId="0" applyFont="1" applyFill="1" applyBorder="1" applyAlignment="1">
      <alignment horizontal="center" wrapText="1"/>
    </xf>
    <xf numFmtId="0" fontId="3" fillId="4" borderId="11" xfId="0" applyFont="1" applyFill="1" applyBorder="1" applyAlignment="1">
      <alignment horizontal="center" wrapText="1"/>
    </xf>
    <xf numFmtId="0" fontId="3" fillId="0" borderId="10" xfId="0" applyFont="1" applyBorder="1" applyAlignment="1">
      <alignment horizontal="center" wrapText="1"/>
    </xf>
    <xf numFmtId="0" fontId="3" fillId="0" borderId="11" xfId="0" applyFont="1" applyBorder="1" applyAlignment="1">
      <alignment horizont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9" xfId="0" applyFont="1" applyBorder="1" applyAlignment="1">
      <alignment horizontal="center" wrapText="1"/>
    </xf>
    <xf numFmtId="0" fontId="3" fillId="4" borderId="6" xfId="0" applyFont="1" applyFill="1" applyBorder="1" applyAlignment="1">
      <alignment horizontal="center" wrapText="1"/>
    </xf>
    <xf numFmtId="0" fontId="3" fillId="4" borderId="7" xfId="0" applyFont="1" applyFill="1" applyBorder="1" applyAlignment="1">
      <alignment horizontal="center" wrapText="1"/>
    </xf>
    <xf numFmtId="0" fontId="3" fillId="4" borderId="8" xfId="0" applyFont="1" applyFill="1" applyBorder="1" applyAlignment="1">
      <alignment horizontal="center" wrapText="1"/>
    </xf>
    <xf numFmtId="0" fontId="3" fillId="0" borderId="7" xfId="0" applyFont="1" applyBorder="1" applyAlignment="1">
      <alignment horizontal="center" vertical="center" wrapText="1"/>
    </xf>
    <xf numFmtId="0" fontId="5" fillId="0" borderId="0" xfId="0" applyFont="1" applyAlignment="1">
      <alignment horizontal="left" shrinkToFit="1"/>
    </xf>
    <xf numFmtId="0" fontId="6" fillId="0" borderId="0" xfId="0" applyFont="1" applyAlignment="1">
      <alignment horizontal="left" shrinkToFit="1"/>
    </xf>
    <xf numFmtId="1" fontId="2" fillId="0" borderId="4" xfId="0" applyNumberFormat="1" applyFont="1" applyBorder="1" applyAlignment="1">
      <alignment horizontal="center"/>
    </xf>
    <xf numFmtId="1" fontId="2" fillId="0" borderId="5" xfId="0" applyNumberFormat="1" applyFont="1" applyBorder="1" applyAlignment="1">
      <alignment horizontal="center"/>
    </xf>
    <xf numFmtId="1" fontId="2" fillId="0" borderId="1" xfId="0" applyNumberFormat="1" applyFont="1" applyBorder="1" applyAlignment="1">
      <alignment horizontal="center" vertical="center"/>
    </xf>
    <xf numFmtId="1" fontId="2" fillId="0" borderId="2" xfId="0" applyNumberFormat="1" applyFont="1" applyBorder="1" applyAlignment="1">
      <alignment horizontal="center" vertical="center"/>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4" borderId="9"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2" fillId="0" borderId="0" xfId="0" applyFont="1" applyAlignment="1">
      <alignment horizontal="center" vertical="center" wrapText="1"/>
    </xf>
    <xf numFmtId="0" fontId="6" fillId="0" borderId="0" xfId="0" applyFont="1" applyAlignment="1">
      <alignment shrinkToFit="1"/>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78"/>
  <sheetViews>
    <sheetView tabSelected="1" topLeftCell="A16" zoomScale="64" zoomScaleNormal="64" workbookViewId="0">
      <selection activeCell="Q60" sqref="Q60"/>
    </sheetView>
  </sheetViews>
  <sheetFormatPr defaultRowHeight="15" x14ac:dyDescent="0.25"/>
  <cols>
    <col min="1" max="1" width="8.7109375" style="1" customWidth="1"/>
    <col min="2" max="2" width="12.140625" style="1" customWidth="1"/>
    <col min="3" max="3" width="11.7109375" style="1" customWidth="1"/>
    <col min="4" max="4" width="14.5703125" style="1" customWidth="1"/>
    <col min="5" max="5" width="17.140625" style="1" customWidth="1"/>
    <col min="6" max="6" width="14" style="1" customWidth="1"/>
    <col min="7" max="7" width="13.7109375" style="1" customWidth="1"/>
    <col min="8" max="8" width="15.85546875" style="1" customWidth="1"/>
    <col min="9" max="9" width="17.7109375" customWidth="1"/>
    <col min="10" max="10" width="16.28515625" customWidth="1"/>
    <col min="11" max="11" width="16.140625" customWidth="1"/>
    <col min="12" max="12" width="15.7109375" customWidth="1"/>
    <col min="13" max="13" width="16.7109375" customWidth="1"/>
    <col min="14" max="14" width="18.7109375" customWidth="1"/>
    <col min="15" max="15" width="18.140625" customWidth="1"/>
    <col min="16" max="16" width="24.85546875" customWidth="1"/>
    <col min="17" max="17" width="20.28515625" customWidth="1"/>
    <col min="18" max="18" width="11.5703125" customWidth="1"/>
    <col min="19" max="19" width="16" style="2" customWidth="1"/>
    <col min="20" max="20" width="2.42578125" customWidth="1"/>
  </cols>
  <sheetData>
    <row r="1" spans="1:21" ht="16.5" thickBot="1" x14ac:dyDescent="0.3">
      <c r="A1" s="8"/>
      <c r="B1" s="8"/>
      <c r="C1" s="8"/>
      <c r="D1" s="8"/>
      <c r="E1" s="8"/>
      <c r="F1" s="8"/>
      <c r="G1" s="8"/>
      <c r="H1" s="8"/>
      <c r="I1" s="83" t="s">
        <v>30</v>
      </c>
      <c r="J1" s="6"/>
      <c r="K1" s="6"/>
      <c r="L1" s="58" t="s">
        <v>6</v>
      </c>
      <c r="M1" s="6"/>
      <c r="N1" s="73" t="s">
        <v>48</v>
      </c>
      <c r="O1" s="6"/>
      <c r="P1" s="6"/>
      <c r="Q1" s="6"/>
      <c r="R1" s="6"/>
      <c r="S1" s="7"/>
      <c r="T1" s="6"/>
      <c r="U1" s="6"/>
    </row>
    <row r="2" spans="1:21" ht="14.45" customHeight="1" x14ac:dyDescent="0.25">
      <c r="A2" s="58" t="s">
        <v>10</v>
      </c>
      <c r="B2" s="76" t="s">
        <v>17</v>
      </c>
      <c r="C2" s="21" t="s">
        <v>16</v>
      </c>
      <c r="D2" s="21" t="s">
        <v>31</v>
      </c>
      <c r="E2" s="49" t="s">
        <v>34</v>
      </c>
      <c r="F2" s="21" t="s">
        <v>14</v>
      </c>
      <c r="G2" s="21" t="s">
        <v>18</v>
      </c>
      <c r="H2" s="21" t="s">
        <v>29</v>
      </c>
      <c r="I2" s="76"/>
      <c r="J2" s="69" t="s">
        <v>2</v>
      </c>
      <c r="K2" s="85" t="s">
        <v>3</v>
      </c>
      <c r="L2" s="67"/>
      <c r="M2" s="72" t="s">
        <v>4</v>
      </c>
      <c r="N2" s="74"/>
      <c r="O2" s="64" t="s">
        <v>5</v>
      </c>
      <c r="P2" s="69" t="s">
        <v>7</v>
      </c>
      <c r="Q2" s="58" t="s">
        <v>8</v>
      </c>
      <c r="R2" s="58" t="s">
        <v>11</v>
      </c>
      <c r="S2" s="61" t="s">
        <v>13</v>
      </c>
      <c r="T2" s="6"/>
      <c r="U2" s="6"/>
    </row>
    <row r="3" spans="1:21" ht="15.75" x14ac:dyDescent="0.25">
      <c r="A3" s="59"/>
      <c r="B3" s="76"/>
      <c r="C3" s="21"/>
      <c r="D3" s="21"/>
      <c r="E3" s="49" t="s">
        <v>15</v>
      </c>
      <c r="F3" s="21" t="s">
        <v>15</v>
      </c>
      <c r="G3" s="21" t="s">
        <v>19</v>
      </c>
      <c r="H3" s="21"/>
      <c r="I3" s="76"/>
      <c r="J3" s="70"/>
      <c r="K3" s="86"/>
      <c r="L3" s="67"/>
      <c r="M3" s="67"/>
      <c r="N3" s="74"/>
      <c r="O3" s="65"/>
      <c r="P3" s="70"/>
      <c r="Q3" s="59"/>
      <c r="R3" s="59"/>
      <c r="S3" s="62"/>
      <c r="T3" s="6"/>
      <c r="U3" s="6"/>
    </row>
    <row r="4" spans="1:21" ht="16.5" thickBot="1" x14ac:dyDescent="0.3">
      <c r="A4" s="59"/>
      <c r="B4" s="21"/>
      <c r="C4" s="21"/>
      <c r="D4" s="21" t="s">
        <v>32</v>
      </c>
      <c r="E4" s="49"/>
      <c r="F4" s="21"/>
      <c r="G4" s="21"/>
      <c r="H4" s="21"/>
      <c r="I4" s="76"/>
      <c r="J4" s="71"/>
      <c r="K4" s="86"/>
      <c r="L4" s="68"/>
      <c r="M4" s="67"/>
      <c r="N4" s="74"/>
      <c r="O4" s="65"/>
      <c r="P4" s="70"/>
      <c r="Q4" s="59"/>
      <c r="R4" s="59"/>
      <c r="S4" s="62"/>
      <c r="T4" s="6"/>
      <c r="U4" s="6"/>
    </row>
    <row r="5" spans="1:21" ht="16.5" thickBot="1" x14ac:dyDescent="0.3">
      <c r="A5" s="60"/>
      <c r="B5" s="22"/>
      <c r="C5" s="22"/>
      <c r="D5" s="22"/>
      <c r="E5" s="22"/>
      <c r="F5" s="22"/>
      <c r="G5" s="22"/>
      <c r="H5" s="22"/>
      <c r="I5" s="84"/>
      <c r="J5" s="6"/>
      <c r="K5" s="87"/>
      <c r="L5" s="23"/>
      <c r="M5" s="67"/>
      <c r="N5" s="74"/>
      <c r="O5" s="66"/>
      <c r="P5" s="70"/>
      <c r="Q5" s="59"/>
      <c r="R5" s="59"/>
      <c r="S5" s="62"/>
      <c r="T5" s="6"/>
      <c r="U5" s="6"/>
    </row>
    <row r="6" spans="1:21" ht="16.5" thickBot="1" x14ac:dyDescent="0.3">
      <c r="A6" s="8"/>
      <c r="B6" s="8"/>
      <c r="C6" s="8"/>
      <c r="D6" s="8"/>
      <c r="E6" s="8"/>
      <c r="F6" s="24"/>
      <c r="G6" s="8"/>
      <c r="H6" s="8"/>
      <c r="I6" s="6"/>
      <c r="J6" s="6"/>
      <c r="K6" s="6"/>
      <c r="L6" s="6"/>
      <c r="M6" s="67"/>
      <c r="N6" s="74"/>
      <c r="O6" s="6"/>
      <c r="P6" s="70"/>
      <c r="Q6" s="59"/>
      <c r="R6" s="60"/>
      <c r="S6" s="63"/>
      <c r="T6" s="6"/>
      <c r="U6" s="6"/>
    </row>
    <row r="7" spans="1:21" ht="16.5" thickBot="1" x14ac:dyDescent="0.3">
      <c r="A7" s="8"/>
      <c r="B7" s="8"/>
      <c r="C7" s="8"/>
      <c r="D7" s="8"/>
      <c r="E7" s="8"/>
      <c r="F7" s="8"/>
      <c r="G7" s="8"/>
      <c r="H7" s="8"/>
      <c r="I7" s="6"/>
      <c r="J7" s="6"/>
      <c r="K7" s="6"/>
      <c r="L7" s="6"/>
      <c r="M7" s="67"/>
      <c r="N7" s="74"/>
      <c r="O7" s="6"/>
      <c r="P7" s="71"/>
      <c r="Q7" s="59"/>
      <c r="R7" s="6"/>
      <c r="S7" s="7"/>
      <c r="T7" s="6"/>
      <c r="U7" s="6"/>
    </row>
    <row r="8" spans="1:21" ht="16.5" thickBot="1" x14ac:dyDescent="0.3">
      <c r="A8" s="8"/>
      <c r="B8" s="8"/>
      <c r="C8" s="8"/>
      <c r="D8" s="25" t="s">
        <v>46</v>
      </c>
      <c r="E8" s="25" t="s">
        <v>46</v>
      </c>
      <c r="F8" s="8"/>
      <c r="G8" s="25" t="s">
        <v>46</v>
      </c>
      <c r="H8" s="25" t="s">
        <v>46</v>
      </c>
      <c r="I8" s="25" t="s">
        <v>46</v>
      </c>
      <c r="J8" s="25" t="s">
        <v>46</v>
      </c>
      <c r="K8" s="25" t="s">
        <v>46</v>
      </c>
      <c r="L8" s="25" t="s">
        <v>46</v>
      </c>
      <c r="M8" s="68"/>
      <c r="N8" s="74"/>
      <c r="O8" s="6"/>
      <c r="P8" s="6"/>
      <c r="Q8" s="59"/>
      <c r="R8" s="6"/>
      <c r="S8" s="25" t="s">
        <v>46</v>
      </c>
      <c r="T8" s="6"/>
      <c r="U8" s="6" t="s">
        <v>47</v>
      </c>
    </row>
    <row r="9" spans="1:21" ht="15.75" x14ac:dyDescent="0.25">
      <c r="A9" s="8"/>
      <c r="B9" s="8"/>
      <c r="C9" s="8"/>
      <c r="D9" s="8"/>
      <c r="E9" s="8"/>
      <c r="F9" s="8"/>
      <c r="G9" s="8"/>
      <c r="H9" s="8"/>
      <c r="I9" s="6"/>
      <c r="J9" s="6"/>
      <c r="K9" s="6"/>
      <c r="L9" s="6"/>
      <c r="M9" s="6"/>
      <c r="N9" s="74"/>
      <c r="O9" s="6"/>
      <c r="P9" s="6"/>
      <c r="Q9" s="59"/>
      <c r="R9" s="6"/>
      <c r="S9" s="7"/>
      <c r="T9" s="6"/>
      <c r="U9" s="6"/>
    </row>
    <row r="10" spans="1:21" ht="16.5" thickBot="1" x14ac:dyDescent="0.3">
      <c r="A10" s="8" t="s">
        <v>33</v>
      </c>
      <c r="B10" s="8"/>
      <c r="C10" s="8"/>
      <c r="D10" s="8">
        <v>720952</v>
      </c>
      <c r="E10" s="26">
        <f>50%*2378931</f>
        <v>1189465.5</v>
      </c>
      <c r="F10" s="8"/>
      <c r="G10" s="27"/>
      <c r="H10" s="8"/>
      <c r="I10" s="6"/>
      <c r="J10" s="6"/>
      <c r="K10" s="6"/>
      <c r="L10" s="6"/>
      <c r="M10" s="6"/>
      <c r="N10" s="75"/>
      <c r="O10" s="6"/>
      <c r="P10" s="6"/>
      <c r="Q10" s="60"/>
      <c r="R10" s="6"/>
      <c r="S10" s="7"/>
      <c r="T10" s="6"/>
      <c r="U10" s="6"/>
    </row>
    <row r="11" spans="1:21" ht="15.75" x14ac:dyDescent="0.25">
      <c r="A11" s="25">
        <v>1992</v>
      </c>
      <c r="B11" s="25"/>
      <c r="C11" s="25"/>
      <c r="D11" s="25">
        <v>26168</v>
      </c>
      <c r="E11" s="28">
        <f>D11*K11/(G11+L11)</f>
        <v>1176.49110333064</v>
      </c>
      <c r="F11" s="25"/>
      <c r="G11" s="29">
        <f>H11+K11</f>
        <v>1146510</v>
      </c>
      <c r="H11" s="25">
        <f>1146510-85136</f>
        <v>1061374</v>
      </c>
      <c r="I11" s="30">
        <v>42703</v>
      </c>
      <c r="J11" s="30">
        <v>42433</v>
      </c>
      <c r="K11" s="30">
        <f>I11+J11</f>
        <v>85136</v>
      </c>
      <c r="L11" s="31">
        <v>747120</v>
      </c>
      <c r="M11" s="32"/>
      <c r="N11" s="32"/>
      <c r="O11" s="32"/>
      <c r="P11" s="7"/>
      <c r="Q11" s="7"/>
      <c r="R11" s="6"/>
      <c r="S11" s="33">
        <v>0</v>
      </c>
      <c r="T11" s="6"/>
      <c r="U11" s="6">
        <v>1992</v>
      </c>
    </row>
    <row r="12" spans="1:21" ht="15.75" x14ac:dyDescent="0.25">
      <c r="A12" s="25">
        <v>1993</v>
      </c>
      <c r="B12" s="25"/>
      <c r="C12" s="25"/>
      <c r="D12" s="25">
        <v>131691</v>
      </c>
      <c r="E12" s="28">
        <f t="shared" ref="E12:E15" si="0">D12*K12/(G12+L12)</f>
        <v>13364.089037428041</v>
      </c>
      <c r="F12" s="25"/>
      <c r="G12" s="29">
        <f t="shared" ref="G12:G33" si="1">H12+K12</f>
        <v>1317242</v>
      </c>
      <c r="H12" s="25">
        <f>1317242-222857</f>
        <v>1094385</v>
      </c>
      <c r="I12" s="30">
        <v>69881</v>
      </c>
      <c r="J12" s="30">
        <v>152976</v>
      </c>
      <c r="K12" s="30">
        <f>I12+J12</f>
        <v>222857</v>
      </c>
      <c r="L12" s="31">
        <v>878812</v>
      </c>
      <c r="M12" s="32"/>
      <c r="N12" s="32"/>
      <c r="O12" s="32"/>
      <c r="P12" s="7"/>
      <c r="Q12" s="7"/>
      <c r="R12" s="6"/>
      <c r="S12" s="33">
        <f>L12-L11</f>
        <v>131692</v>
      </c>
      <c r="T12" s="6"/>
      <c r="U12" s="6">
        <v>1993</v>
      </c>
    </row>
    <row r="13" spans="1:21" ht="15.75" x14ac:dyDescent="0.25">
      <c r="A13" s="25">
        <v>1994</v>
      </c>
      <c r="B13" s="25"/>
      <c r="C13" s="25"/>
      <c r="D13" s="25">
        <v>152921</v>
      </c>
      <c r="E13" s="28">
        <f t="shared" si="0"/>
        <v>21574.803238007982</v>
      </c>
      <c r="F13" s="25"/>
      <c r="G13" s="29">
        <f t="shared" si="1"/>
        <v>1559428</v>
      </c>
      <c r="H13" s="25">
        <f>1559428-365573</f>
        <v>1193855</v>
      </c>
      <c r="I13" s="30">
        <v>115511</v>
      </c>
      <c r="J13" s="30">
        <v>250062</v>
      </c>
      <c r="K13" s="30">
        <f t="shared" ref="K13:K41" si="2">I13+J13</f>
        <v>365573</v>
      </c>
      <c r="L13" s="31">
        <v>1031733</v>
      </c>
      <c r="M13" s="32"/>
      <c r="N13" s="32"/>
      <c r="O13" s="32"/>
      <c r="P13" s="7"/>
      <c r="Q13" s="7"/>
      <c r="R13" s="6">
        <v>977</v>
      </c>
      <c r="S13" s="33">
        <f>L13-L12</f>
        <v>152921</v>
      </c>
      <c r="T13" s="6"/>
      <c r="U13" s="6">
        <v>1994</v>
      </c>
    </row>
    <row r="14" spans="1:21" ht="15.75" x14ac:dyDescent="0.25">
      <c r="A14" s="25">
        <v>1995</v>
      </c>
      <c r="B14" s="25"/>
      <c r="C14" s="25"/>
      <c r="D14" s="25">
        <v>142303</v>
      </c>
      <c r="E14" s="28">
        <f t="shared" si="0"/>
        <v>27129.319756040815</v>
      </c>
      <c r="F14" s="25"/>
      <c r="G14" s="29">
        <f t="shared" si="1"/>
        <v>1774399</v>
      </c>
      <c r="H14" s="25">
        <f>1774399-562121</f>
        <v>1212278</v>
      </c>
      <c r="I14" s="30">
        <v>204497</v>
      </c>
      <c r="J14" s="30">
        <v>357624</v>
      </c>
      <c r="K14" s="30">
        <f t="shared" si="2"/>
        <v>562121</v>
      </c>
      <c r="L14" s="31">
        <v>1174127</v>
      </c>
      <c r="M14" s="32"/>
      <c r="N14" s="32"/>
      <c r="O14" s="32"/>
      <c r="P14" s="7"/>
      <c r="Q14" s="7"/>
      <c r="R14" s="6">
        <v>943</v>
      </c>
      <c r="S14" s="33">
        <f>L14-L13</f>
        <v>142394</v>
      </c>
      <c r="T14" s="6"/>
      <c r="U14" s="6">
        <v>1995</v>
      </c>
    </row>
    <row r="15" spans="1:21" ht="15.75" x14ac:dyDescent="0.25">
      <c r="A15" s="25">
        <v>1996</v>
      </c>
      <c r="B15" s="25"/>
      <c r="C15" s="25"/>
      <c r="D15" s="25">
        <v>239114</v>
      </c>
      <c r="E15" s="28">
        <f t="shared" si="0"/>
        <v>40403.803829683631</v>
      </c>
      <c r="F15" s="25"/>
      <c r="G15" s="29">
        <f t="shared" si="1"/>
        <v>2077879</v>
      </c>
      <c r="H15" s="25">
        <f>2077879-589910</f>
        <v>1487969</v>
      </c>
      <c r="I15" s="30">
        <v>280142</v>
      </c>
      <c r="J15" s="30">
        <v>309768</v>
      </c>
      <c r="K15" s="30">
        <f t="shared" si="2"/>
        <v>589910</v>
      </c>
      <c r="L15" s="31">
        <v>1413271</v>
      </c>
      <c r="M15" s="32"/>
      <c r="N15" s="32"/>
      <c r="O15" s="32"/>
      <c r="P15" s="7"/>
      <c r="Q15" s="7"/>
      <c r="R15" s="6">
        <v>913</v>
      </c>
      <c r="S15" s="33">
        <f>L15-L14</f>
        <v>239144</v>
      </c>
      <c r="T15" s="6"/>
      <c r="U15" s="6">
        <v>1996</v>
      </c>
    </row>
    <row r="16" spans="1:21" ht="15.75" x14ac:dyDescent="0.25">
      <c r="A16" s="25">
        <v>1997</v>
      </c>
      <c r="B16" s="88" t="s">
        <v>35</v>
      </c>
      <c r="C16" s="88"/>
      <c r="D16" s="25">
        <v>1257986</v>
      </c>
      <c r="E16" s="28"/>
      <c r="F16" s="25"/>
      <c r="G16" s="29">
        <f t="shared" si="1"/>
        <v>2746957</v>
      </c>
      <c r="H16" s="25">
        <f>2746957-727401</f>
        <v>2019556</v>
      </c>
      <c r="I16" s="30">
        <v>315895</v>
      </c>
      <c r="J16" s="30">
        <v>411506</v>
      </c>
      <c r="K16" s="30">
        <f t="shared" si="2"/>
        <v>727401</v>
      </c>
      <c r="L16" s="31">
        <v>3024652</v>
      </c>
      <c r="M16" s="32"/>
      <c r="N16" s="32"/>
      <c r="O16" s="32"/>
      <c r="P16" s="7"/>
      <c r="Q16" s="7"/>
      <c r="R16" s="6">
        <v>918</v>
      </c>
      <c r="S16" s="33">
        <f t="shared" ref="S16:S27" si="3">L16-L15</f>
        <v>1611381</v>
      </c>
      <c r="T16" s="6"/>
      <c r="U16" s="6">
        <v>1997</v>
      </c>
    </row>
    <row r="17" spans="1:23" ht="15.75" x14ac:dyDescent="0.25">
      <c r="A17" s="25">
        <v>1997</v>
      </c>
      <c r="B17" s="88"/>
      <c r="C17" s="88"/>
      <c r="D17" s="25">
        <v>107963</v>
      </c>
      <c r="E17" s="28"/>
      <c r="F17" s="25"/>
      <c r="G17" s="29">
        <f t="shared" si="1"/>
        <v>0</v>
      </c>
      <c r="H17" s="25"/>
      <c r="I17" s="30"/>
      <c r="J17" s="30"/>
      <c r="K17" s="30"/>
      <c r="L17" s="31"/>
      <c r="M17" s="32"/>
      <c r="N17" s="32"/>
      <c r="O17" s="32"/>
      <c r="P17" s="7"/>
      <c r="Q17" s="7"/>
      <c r="R17" s="6"/>
      <c r="S17" s="33"/>
      <c r="T17" s="6"/>
      <c r="U17" s="6"/>
    </row>
    <row r="18" spans="1:23" ht="15.75" x14ac:dyDescent="0.25">
      <c r="A18" s="25">
        <v>1997</v>
      </c>
      <c r="B18" s="88"/>
      <c r="C18" s="88"/>
      <c r="D18" s="25">
        <v>245431</v>
      </c>
      <c r="E18" s="28"/>
      <c r="F18" s="25"/>
      <c r="G18" s="29">
        <f t="shared" si="1"/>
        <v>0</v>
      </c>
      <c r="H18" s="25"/>
      <c r="I18" s="30"/>
      <c r="J18" s="30"/>
      <c r="K18" s="30"/>
      <c r="L18" s="31"/>
      <c r="M18" s="32"/>
      <c r="N18" s="32"/>
      <c r="O18" s="32"/>
      <c r="P18" s="7"/>
      <c r="Q18" s="7"/>
      <c r="R18" s="6"/>
      <c r="S18" s="33"/>
      <c r="T18" s="6"/>
      <c r="U18" s="6"/>
    </row>
    <row r="19" spans="1:23" ht="15.75" x14ac:dyDescent="0.25">
      <c r="A19" s="25">
        <v>1998</v>
      </c>
      <c r="B19" s="25"/>
      <c r="C19" s="25"/>
      <c r="D19" s="25">
        <v>332265</v>
      </c>
      <c r="E19" s="28">
        <f>D19*K19/(G19+L19)</f>
        <v>45315.098401494804</v>
      </c>
      <c r="F19" s="25"/>
      <c r="G19" s="29">
        <f t="shared" si="1"/>
        <v>3156855</v>
      </c>
      <c r="H19" s="25">
        <f>3156855-888364</f>
        <v>2268491</v>
      </c>
      <c r="I19" s="30">
        <v>403720</v>
      </c>
      <c r="J19" s="30">
        <v>484644</v>
      </c>
      <c r="K19" s="30">
        <f t="shared" si="2"/>
        <v>888364</v>
      </c>
      <c r="L19" s="31">
        <v>3356918</v>
      </c>
      <c r="M19" s="32"/>
      <c r="N19" s="32"/>
      <c r="O19" s="32"/>
      <c r="P19" s="7"/>
      <c r="Q19" s="7"/>
      <c r="R19" s="6">
        <v>950</v>
      </c>
      <c r="S19" s="33">
        <f>L19-L16</f>
        <v>332266</v>
      </c>
      <c r="T19" s="6"/>
      <c r="U19" s="6">
        <v>1998</v>
      </c>
    </row>
    <row r="20" spans="1:23" ht="15.75" x14ac:dyDescent="0.25">
      <c r="A20" s="25">
        <v>1999</v>
      </c>
      <c r="B20" s="25"/>
      <c r="C20" s="25"/>
      <c r="D20" s="25">
        <v>334248</v>
      </c>
      <c r="E20" s="28">
        <f t="shared" ref="E20:E33" si="4">D20*K20/(G20+L20)</f>
        <v>49549.88143462249</v>
      </c>
      <c r="F20" s="25"/>
      <c r="G20" s="29">
        <f t="shared" si="1"/>
        <v>3488450</v>
      </c>
      <c r="H20" s="25">
        <f>3488450-1064327</f>
        <v>2424123</v>
      </c>
      <c r="I20" s="30">
        <v>336994</v>
      </c>
      <c r="J20" s="30">
        <v>727333</v>
      </c>
      <c r="K20" s="30">
        <f t="shared" si="2"/>
        <v>1064327</v>
      </c>
      <c r="L20" s="31">
        <v>3691167</v>
      </c>
      <c r="M20" s="32"/>
      <c r="N20" s="32"/>
      <c r="O20" s="32"/>
      <c r="P20" s="7"/>
      <c r="Q20" s="7"/>
      <c r="R20" s="6">
        <v>970</v>
      </c>
      <c r="S20" s="33">
        <f t="shared" si="3"/>
        <v>334249</v>
      </c>
      <c r="T20" s="6"/>
      <c r="U20" s="6">
        <v>1999</v>
      </c>
    </row>
    <row r="21" spans="1:23" ht="15.75" x14ac:dyDescent="0.25">
      <c r="A21" s="25">
        <v>2000</v>
      </c>
      <c r="B21" s="25"/>
      <c r="C21" s="25"/>
      <c r="D21" s="25">
        <v>134319</v>
      </c>
      <c r="E21" s="28">
        <f t="shared" si="4"/>
        <v>26641.058183764759</v>
      </c>
      <c r="F21" s="25"/>
      <c r="G21" s="29">
        <f t="shared" si="1"/>
        <v>4070891</v>
      </c>
      <c r="H21" s="25">
        <f>4070891-1566181</f>
        <v>2504710</v>
      </c>
      <c r="I21" s="30">
        <v>641931</v>
      </c>
      <c r="J21" s="30">
        <v>924250</v>
      </c>
      <c r="K21" s="30">
        <f t="shared" si="2"/>
        <v>1566181</v>
      </c>
      <c r="L21" s="31">
        <v>3825487</v>
      </c>
      <c r="M21" s="32"/>
      <c r="N21" s="32"/>
      <c r="O21" s="32"/>
      <c r="P21" s="7"/>
      <c r="Q21" s="7"/>
      <c r="R21" s="6">
        <v>980</v>
      </c>
      <c r="S21" s="33">
        <f t="shared" si="3"/>
        <v>134320</v>
      </c>
      <c r="T21" s="6"/>
      <c r="U21" s="6">
        <v>2000</v>
      </c>
    </row>
    <row r="22" spans="1:23" ht="15.75" x14ac:dyDescent="0.25">
      <c r="A22" s="25">
        <v>2001</v>
      </c>
      <c r="B22" s="25"/>
      <c r="C22" s="25"/>
      <c r="D22" s="25">
        <v>367347</v>
      </c>
      <c r="E22" s="28">
        <f t="shared" si="4"/>
        <v>99706.516540167358</v>
      </c>
      <c r="F22" s="25"/>
      <c r="G22" s="29">
        <f t="shared" si="1"/>
        <v>4026974</v>
      </c>
      <c r="H22" s="25">
        <v>1795927</v>
      </c>
      <c r="I22" s="30">
        <v>1050832</v>
      </c>
      <c r="J22" s="30">
        <v>1180215</v>
      </c>
      <c r="K22" s="30">
        <f t="shared" si="2"/>
        <v>2231047</v>
      </c>
      <c r="L22" s="31">
        <v>4192834</v>
      </c>
      <c r="M22" s="32"/>
      <c r="N22" s="32"/>
      <c r="O22" s="32"/>
      <c r="P22" s="7"/>
      <c r="Q22" s="7"/>
      <c r="R22" s="6">
        <v>1017</v>
      </c>
      <c r="S22" s="33">
        <f t="shared" si="3"/>
        <v>367347</v>
      </c>
      <c r="T22" s="6"/>
      <c r="U22" s="6">
        <v>2001</v>
      </c>
    </row>
    <row r="23" spans="1:23" ht="15.75" x14ac:dyDescent="0.25">
      <c r="A23" s="25">
        <v>2002</v>
      </c>
      <c r="B23" s="25"/>
      <c r="C23" s="25"/>
      <c r="D23" s="25">
        <v>104854</v>
      </c>
      <c r="E23" s="28">
        <f t="shared" si="4"/>
        <v>32625.750131632361</v>
      </c>
      <c r="F23" s="25"/>
      <c r="G23" s="29">
        <f t="shared" si="1"/>
        <v>5735937</v>
      </c>
      <c r="H23" s="25">
        <v>2613933</v>
      </c>
      <c r="I23" s="30">
        <v>1316028</v>
      </c>
      <c r="J23" s="30">
        <v>1805976</v>
      </c>
      <c r="K23" s="30">
        <f t="shared" si="2"/>
        <v>3122004</v>
      </c>
      <c r="L23" s="31">
        <v>4297690</v>
      </c>
      <c r="M23" s="32"/>
      <c r="N23" s="32"/>
      <c r="O23" s="32"/>
      <c r="P23" s="7"/>
      <c r="Q23" s="7"/>
      <c r="R23" s="6">
        <v>1102</v>
      </c>
      <c r="S23" s="33">
        <f t="shared" si="3"/>
        <v>104856</v>
      </c>
      <c r="T23" s="6"/>
      <c r="U23" s="6">
        <v>2002</v>
      </c>
    </row>
    <row r="24" spans="1:23" ht="15.75" x14ac:dyDescent="0.25">
      <c r="A24" s="25">
        <v>2003</v>
      </c>
      <c r="B24" s="25"/>
      <c r="C24" s="25"/>
      <c r="D24" s="25">
        <v>532699</v>
      </c>
      <c r="E24" s="28">
        <f t="shared" si="4"/>
        <v>185991.54830773384</v>
      </c>
      <c r="F24" s="25"/>
      <c r="G24" s="29">
        <f t="shared" si="1"/>
        <v>7438278</v>
      </c>
      <c r="H24" s="25">
        <v>3154680</v>
      </c>
      <c r="I24" s="30">
        <v>2021267</v>
      </c>
      <c r="J24" s="30">
        <v>2262331</v>
      </c>
      <c r="K24" s="30">
        <f t="shared" si="2"/>
        <v>4283598</v>
      </c>
      <c r="L24" s="31">
        <v>4830389</v>
      </c>
      <c r="M24" s="32"/>
      <c r="N24" s="32"/>
      <c r="O24" s="32"/>
      <c r="P24" s="7"/>
      <c r="Q24" s="7"/>
      <c r="R24" s="6">
        <v>1164</v>
      </c>
      <c r="S24" s="33">
        <f t="shared" si="3"/>
        <v>532699</v>
      </c>
      <c r="T24" s="6"/>
      <c r="U24" s="6">
        <v>2003</v>
      </c>
      <c r="W24" s="3"/>
    </row>
    <row r="25" spans="1:23" ht="15.75" x14ac:dyDescent="0.25">
      <c r="A25" s="25">
        <v>2004</v>
      </c>
      <c r="B25" s="25"/>
      <c r="C25" s="25"/>
      <c r="D25" s="25">
        <v>596699</v>
      </c>
      <c r="E25" s="28">
        <f t="shared" si="4"/>
        <v>210400.5923881307</v>
      </c>
      <c r="F25" s="25"/>
      <c r="G25" s="29">
        <f t="shared" si="1"/>
        <v>9007657</v>
      </c>
      <c r="H25" s="25">
        <v>3917958</v>
      </c>
      <c r="I25" s="30">
        <v>2373616</v>
      </c>
      <c r="J25" s="30">
        <v>2716083</v>
      </c>
      <c r="K25" s="30">
        <f t="shared" si="2"/>
        <v>5089699</v>
      </c>
      <c r="L25" s="31">
        <v>5426800</v>
      </c>
      <c r="M25" s="32"/>
      <c r="N25" s="32"/>
      <c r="O25" s="32"/>
      <c r="P25" s="7"/>
      <c r="Q25" s="7"/>
      <c r="R25" s="6">
        <v>1306</v>
      </c>
      <c r="S25" s="33">
        <f t="shared" si="3"/>
        <v>596411</v>
      </c>
      <c r="T25" s="6"/>
      <c r="U25" s="6">
        <v>2004</v>
      </c>
      <c r="W25" s="4"/>
    </row>
    <row r="26" spans="1:23" ht="15.75" x14ac:dyDescent="0.25">
      <c r="A26" s="25">
        <v>2005</v>
      </c>
      <c r="B26" s="25"/>
      <c r="C26" s="25"/>
      <c r="D26" s="25">
        <v>718110</v>
      </c>
      <c r="E26" s="28">
        <f t="shared" si="4"/>
        <v>278999.72784263047</v>
      </c>
      <c r="F26" s="25"/>
      <c r="G26" s="29">
        <f t="shared" si="1"/>
        <v>9326139</v>
      </c>
      <c r="H26" s="25">
        <v>3315335</v>
      </c>
      <c r="I26" s="30">
        <v>2683761</v>
      </c>
      <c r="J26" s="30">
        <v>3327043</v>
      </c>
      <c r="K26" s="30">
        <f t="shared" si="2"/>
        <v>6010804</v>
      </c>
      <c r="L26" s="31">
        <v>6144910</v>
      </c>
      <c r="M26" s="32"/>
      <c r="N26" s="32"/>
      <c r="O26" s="32"/>
      <c r="P26" s="7"/>
      <c r="Q26" s="7"/>
      <c r="R26" s="6">
        <v>1334</v>
      </c>
      <c r="S26" s="33">
        <f t="shared" si="3"/>
        <v>718110</v>
      </c>
      <c r="T26" s="6"/>
      <c r="U26" s="6">
        <v>2005</v>
      </c>
      <c r="W26" s="4"/>
    </row>
    <row r="27" spans="1:23" ht="15.75" x14ac:dyDescent="0.25">
      <c r="A27" s="25">
        <v>2006</v>
      </c>
      <c r="B27" s="25"/>
      <c r="C27" s="25"/>
      <c r="D27" s="25">
        <v>471441</v>
      </c>
      <c r="E27" s="28">
        <f t="shared" si="4"/>
        <v>168423.76396144787</v>
      </c>
      <c r="F27" s="25"/>
      <c r="G27" s="29">
        <f t="shared" si="1"/>
        <v>11905169</v>
      </c>
      <c r="H27" s="25">
        <v>5288298</v>
      </c>
      <c r="I27" s="30">
        <v>3076915</v>
      </c>
      <c r="J27" s="30">
        <v>3539956</v>
      </c>
      <c r="K27" s="30">
        <f t="shared" si="2"/>
        <v>6616871</v>
      </c>
      <c r="L27" s="31">
        <v>6616352</v>
      </c>
      <c r="M27" s="32"/>
      <c r="N27" s="32"/>
      <c r="O27" s="32"/>
      <c r="P27" s="7"/>
      <c r="Q27" s="7"/>
      <c r="R27" s="6">
        <v>1350</v>
      </c>
      <c r="S27" s="33">
        <f t="shared" si="3"/>
        <v>471442</v>
      </c>
      <c r="T27" s="6"/>
      <c r="U27" s="6">
        <v>2006</v>
      </c>
      <c r="W27" s="4"/>
    </row>
    <row r="28" spans="1:23" ht="15.75" x14ac:dyDescent="0.25">
      <c r="A28" s="25">
        <v>2007</v>
      </c>
      <c r="B28" s="25"/>
      <c r="C28" s="25"/>
      <c r="D28" s="25">
        <v>607240</v>
      </c>
      <c r="E28" s="28">
        <f t="shared" si="4"/>
        <v>238429.67741522007</v>
      </c>
      <c r="F28" s="25"/>
      <c r="G28" s="29">
        <f t="shared" si="1"/>
        <v>11713405</v>
      </c>
      <c r="H28" s="25">
        <v>5219244</v>
      </c>
      <c r="I28" s="30">
        <v>2780926</v>
      </c>
      <c r="J28" s="30">
        <v>3713235</v>
      </c>
      <c r="K28" s="30">
        <f t="shared" si="2"/>
        <v>6494161</v>
      </c>
      <c r="L28" s="31">
        <v>4826123</v>
      </c>
      <c r="M28" s="30">
        <v>2378936</v>
      </c>
      <c r="N28" s="30">
        <f>M28*60%</f>
        <v>1427361.5999999999</v>
      </c>
      <c r="O28" s="30">
        <f>K28+N28</f>
        <v>7921522.5999999996</v>
      </c>
      <c r="P28" s="31">
        <f>50%*L28</f>
        <v>2413061.5</v>
      </c>
      <c r="Q28" s="31">
        <f>O28+P28</f>
        <v>10334584.1</v>
      </c>
      <c r="R28" s="6">
        <v>1434</v>
      </c>
      <c r="S28" s="33"/>
      <c r="T28" s="6"/>
      <c r="U28" s="6">
        <v>2007</v>
      </c>
      <c r="W28" s="4"/>
    </row>
    <row r="29" spans="1:23" ht="15.75" x14ac:dyDescent="0.25">
      <c r="A29" s="25">
        <v>2008</v>
      </c>
      <c r="B29" s="25"/>
      <c r="C29" s="25"/>
      <c r="D29" s="25">
        <v>1402567</v>
      </c>
      <c r="E29" s="28">
        <f t="shared" si="4"/>
        <v>631621.24534509017</v>
      </c>
      <c r="F29" s="25"/>
      <c r="G29" s="29">
        <f t="shared" si="1"/>
        <v>13513872</v>
      </c>
      <c r="H29" s="25">
        <v>4622708</v>
      </c>
      <c r="I29" s="30">
        <v>2817837</v>
      </c>
      <c r="J29" s="30">
        <v>6073327</v>
      </c>
      <c r="K29" s="30">
        <f t="shared" si="2"/>
        <v>8891164</v>
      </c>
      <c r="L29" s="31">
        <v>6229690</v>
      </c>
      <c r="M29" s="30"/>
      <c r="N29" s="30">
        <f t="shared" ref="N29:N39" si="5">M29*60%</f>
        <v>0</v>
      </c>
      <c r="O29" s="30">
        <f>K29+N29</f>
        <v>8891164</v>
      </c>
      <c r="P29" s="31"/>
      <c r="Q29" s="31">
        <f t="shared" ref="Q29:Q44" si="6">O29+P29</f>
        <v>8891164</v>
      </c>
      <c r="R29" s="6">
        <v>1470</v>
      </c>
      <c r="S29" s="33"/>
      <c r="T29" s="6"/>
      <c r="U29" s="6">
        <v>2008</v>
      </c>
      <c r="W29" s="4"/>
    </row>
    <row r="30" spans="1:23" ht="15.75" x14ac:dyDescent="0.25">
      <c r="A30" s="25">
        <v>2009</v>
      </c>
      <c r="B30" s="25"/>
      <c r="C30" s="25"/>
      <c r="D30" s="25">
        <v>983451</v>
      </c>
      <c r="E30" s="28">
        <f t="shared" si="4"/>
        <v>339440.3559056613</v>
      </c>
      <c r="F30" s="25"/>
      <c r="G30" s="29">
        <f t="shared" si="1"/>
        <v>7661567</v>
      </c>
      <c r="H30" s="25">
        <v>2975070</v>
      </c>
      <c r="I30" s="34"/>
      <c r="J30" s="30">
        <v>4686497</v>
      </c>
      <c r="K30" s="30">
        <f t="shared" si="2"/>
        <v>4686497</v>
      </c>
      <c r="L30" s="31">
        <v>5916489</v>
      </c>
      <c r="M30" s="30">
        <v>7934461</v>
      </c>
      <c r="N30" s="30">
        <f t="shared" si="5"/>
        <v>4760676.5999999996</v>
      </c>
      <c r="O30" s="30">
        <f>K30+N30</f>
        <v>9447173.5999999996</v>
      </c>
      <c r="P30" s="31">
        <f>50%*L30</f>
        <v>2958244.5</v>
      </c>
      <c r="Q30" s="31">
        <f t="shared" si="6"/>
        <v>12405418.1</v>
      </c>
      <c r="R30" s="6">
        <v>1494</v>
      </c>
      <c r="S30" s="33"/>
      <c r="T30" s="6"/>
      <c r="U30" s="6">
        <v>2009</v>
      </c>
      <c r="W30" s="4"/>
    </row>
    <row r="31" spans="1:23" ht="15.75" x14ac:dyDescent="0.25">
      <c r="A31" s="25">
        <v>2010</v>
      </c>
      <c r="B31" s="25"/>
      <c r="C31" s="25"/>
      <c r="D31" s="25">
        <v>626479</v>
      </c>
      <c r="E31" s="28">
        <f t="shared" si="4"/>
        <v>242209.56944104066</v>
      </c>
      <c r="F31" s="25"/>
      <c r="G31" s="29">
        <f t="shared" si="1"/>
        <v>8826929</v>
      </c>
      <c r="H31" s="25">
        <v>3316482</v>
      </c>
      <c r="I31" s="34"/>
      <c r="J31" s="30">
        <v>5510447</v>
      </c>
      <c r="K31" s="30">
        <f t="shared" si="2"/>
        <v>5510447</v>
      </c>
      <c r="L31" s="31">
        <v>5425932</v>
      </c>
      <c r="M31" s="30">
        <v>8425018</v>
      </c>
      <c r="N31" s="30">
        <f t="shared" si="5"/>
        <v>5055010.8</v>
      </c>
      <c r="O31" s="30">
        <f t="shared" ref="O31:O44" si="7">K31+N31</f>
        <v>10565457.800000001</v>
      </c>
      <c r="P31" s="31">
        <f t="shared" ref="P31:P39" si="8">50%*L31</f>
        <v>2712966</v>
      </c>
      <c r="Q31" s="31">
        <f t="shared" si="6"/>
        <v>13278423.800000001</v>
      </c>
      <c r="R31" s="6">
        <v>1455</v>
      </c>
      <c r="S31" s="33"/>
      <c r="T31" s="6"/>
      <c r="U31" s="6">
        <v>2010</v>
      </c>
      <c r="W31" s="4"/>
    </row>
    <row r="32" spans="1:23" ht="15.75" x14ac:dyDescent="0.25">
      <c r="A32" s="25">
        <v>2011</v>
      </c>
      <c r="B32" s="25"/>
      <c r="C32" s="25"/>
      <c r="D32" s="25">
        <v>118941</v>
      </c>
      <c r="E32" s="28">
        <f t="shared" si="4"/>
        <v>44310.285163920329</v>
      </c>
      <c r="F32" s="25"/>
      <c r="G32" s="29">
        <f t="shared" si="1"/>
        <v>8855173</v>
      </c>
      <c r="H32" s="25">
        <v>3490580</v>
      </c>
      <c r="I32" s="34"/>
      <c r="J32" s="30">
        <v>5364593</v>
      </c>
      <c r="K32" s="30">
        <f t="shared" si="2"/>
        <v>5364593</v>
      </c>
      <c r="L32" s="31">
        <v>5544871</v>
      </c>
      <c r="M32" s="30">
        <v>8848479</v>
      </c>
      <c r="N32" s="30">
        <f t="shared" si="5"/>
        <v>5309087.3999999994</v>
      </c>
      <c r="O32" s="30">
        <f t="shared" si="7"/>
        <v>10673680.399999999</v>
      </c>
      <c r="P32" s="31">
        <f t="shared" si="8"/>
        <v>2772435.5</v>
      </c>
      <c r="Q32" s="31">
        <f t="shared" si="6"/>
        <v>13446115.899999999</v>
      </c>
      <c r="R32" s="6">
        <v>1517</v>
      </c>
      <c r="S32" s="33"/>
      <c r="T32" s="6"/>
      <c r="U32" s="6">
        <v>2011</v>
      </c>
      <c r="W32" s="4"/>
    </row>
    <row r="33" spans="1:23" ht="15.75" x14ac:dyDescent="0.25">
      <c r="A33" s="25">
        <v>2012</v>
      </c>
      <c r="B33" s="25">
        <v>0</v>
      </c>
      <c r="C33" s="25"/>
      <c r="D33" s="25">
        <v>115915</v>
      </c>
      <c r="E33" s="28">
        <f t="shared" si="4"/>
        <v>42402.676099970748</v>
      </c>
      <c r="F33" s="25"/>
      <c r="G33" s="29">
        <f t="shared" si="1"/>
        <v>9355725</v>
      </c>
      <c r="H33" s="25">
        <v>3862559</v>
      </c>
      <c r="I33" s="34"/>
      <c r="J33" s="35">
        <v>5493166</v>
      </c>
      <c r="K33" s="30">
        <f t="shared" si="2"/>
        <v>5493166</v>
      </c>
      <c r="L33" s="31">
        <v>5660788</v>
      </c>
      <c r="M33" s="30">
        <v>9249825</v>
      </c>
      <c r="N33" s="30">
        <f t="shared" si="5"/>
        <v>5549895</v>
      </c>
      <c r="O33" s="30">
        <f t="shared" si="7"/>
        <v>11043061</v>
      </c>
      <c r="P33" s="31">
        <f t="shared" si="8"/>
        <v>2830394</v>
      </c>
      <c r="Q33" s="31">
        <f t="shared" si="6"/>
        <v>13873455</v>
      </c>
      <c r="R33" s="6">
        <v>1603</v>
      </c>
      <c r="S33" s="33"/>
      <c r="T33" s="6"/>
      <c r="U33" s="6">
        <v>2012</v>
      </c>
      <c r="W33" s="5"/>
    </row>
    <row r="34" spans="1:23" ht="15.75" x14ac:dyDescent="0.25">
      <c r="A34" s="25">
        <v>2014</v>
      </c>
      <c r="B34" s="25">
        <v>0</v>
      </c>
      <c r="C34" s="25"/>
      <c r="D34" s="29" t="s">
        <v>53</v>
      </c>
      <c r="E34" s="46" t="s">
        <v>53</v>
      </c>
      <c r="F34" s="45" t="s">
        <v>53</v>
      </c>
      <c r="G34" s="29">
        <v>11174777</v>
      </c>
      <c r="H34" s="25">
        <f>11174777-4841479</f>
        <v>6333298</v>
      </c>
      <c r="I34" s="34"/>
      <c r="J34" s="35">
        <f>G34-H34</f>
        <v>4841479</v>
      </c>
      <c r="K34" s="30">
        <f t="shared" si="2"/>
        <v>4841479</v>
      </c>
      <c r="L34" s="31">
        <v>4841479</v>
      </c>
      <c r="M34" s="30">
        <v>9337420</v>
      </c>
      <c r="N34" s="30">
        <f t="shared" si="5"/>
        <v>5602452</v>
      </c>
      <c r="O34" s="30">
        <f t="shared" si="7"/>
        <v>10443931</v>
      </c>
      <c r="P34" s="31">
        <f t="shared" si="8"/>
        <v>2420739.5</v>
      </c>
      <c r="Q34" s="31">
        <f t="shared" si="6"/>
        <v>12864670.5</v>
      </c>
      <c r="R34" s="6"/>
      <c r="S34" s="33"/>
      <c r="T34" s="6"/>
      <c r="U34" s="6"/>
      <c r="W34" s="5"/>
    </row>
    <row r="35" spans="1:23" ht="15.75" x14ac:dyDescent="0.25">
      <c r="A35" s="25">
        <v>2015</v>
      </c>
      <c r="B35" s="25">
        <v>0</v>
      </c>
      <c r="C35" s="25"/>
      <c r="D35" s="25"/>
      <c r="E35" s="46" t="s">
        <v>53</v>
      </c>
      <c r="F35" s="45" t="s">
        <v>53</v>
      </c>
      <c r="G35" s="29">
        <v>10379730</v>
      </c>
      <c r="H35" s="25">
        <f>10379730-4841479</f>
        <v>5538251</v>
      </c>
      <c r="I35" s="34"/>
      <c r="J35" s="35">
        <f t="shared" ref="J35:J38" si="9">G35-H35</f>
        <v>4841479</v>
      </c>
      <c r="K35" s="30">
        <f t="shared" si="2"/>
        <v>4841479</v>
      </c>
      <c r="L35" s="31">
        <v>4908013</v>
      </c>
      <c r="M35" s="30">
        <v>9546941</v>
      </c>
      <c r="N35" s="30">
        <f t="shared" si="5"/>
        <v>5728164.5999999996</v>
      </c>
      <c r="O35" s="30">
        <f t="shared" si="7"/>
        <v>10569643.6</v>
      </c>
      <c r="P35" s="31">
        <f t="shared" si="8"/>
        <v>2454006.5</v>
      </c>
      <c r="Q35" s="31">
        <f t="shared" si="6"/>
        <v>13023650.1</v>
      </c>
      <c r="R35" s="6"/>
      <c r="S35" s="33"/>
      <c r="T35" s="6"/>
      <c r="U35" s="6"/>
      <c r="W35" s="5"/>
    </row>
    <row r="36" spans="1:23" ht="15.75" x14ac:dyDescent="0.25">
      <c r="A36" s="25">
        <v>2016</v>
      </c>
      <c r="B36" s="25">
        <v>26000</v>
      </c>
      <c r="C36" s="25">
        <v>69022</v>
      </c>
      <c r="D36" s="25"/>
      <c r="E36" s="28">
        <v>69022</v>
      </c>
      <c r="F36" s="45">
        <f>K36-K35</f>
        <v>115919</v>
      </c>
      <c r="G36" s="29">
        <v>10027111</v>
      </c>
      <c r="H36" s="25">
        <f>10027222-4957509</f>
        <v>5069713</v>
      </c>
      <c r="I36" s="34"/>
      <c r="J36" s="35">
        <f t="shared" si="9"/>
        <v>4957398</v>
      </c>
      <c r="K36" s="30">
        <f t="shared" si="2"/>
        <v>4957398</v>
      </c>
      <c r="L36" s="31">
        <v>4957509</v>
      </c>
      <c r="M36" s="30">
        <v>9704511</v>
      </c>
      <c r="N36" s="30">
        <f t="shared" si="5"/>
        <v>5822706.5999999996</v>
      </c>
      <c r="O36" s="30">
        <f t="shared" si="7"/>
        <v>10780104.6</v>
      </c>
      <c r="P36" s="31">
        <f t="shared" si="8"/>
        <v>2478754.5</v>
      </c>
      <c r="Q36" s="31">
        <f t="shared" si="6"/>
        <v>13258859.1</v>
      </c>
      <c r="R36" s="6"/>
      <c r="S36" s="33"/>
      <c r="T36" s="6"/>
      <c r="U36" s="6"/>
      <c r="W36" s="5"/>
    </row>
    <row r="37" spans="1:23" ht="15.75" x14ac:dyDescent="0.25">
      <c r="A37" s="25">
        <v>2017</v>
      </c>
      <c r="B37" s="25">
        <v>82806</v>
      </c>
      <c r="C37" s="25">
        <v>50890</v>
      </c>
      <c r="D37" s="25"/>
      <c r="E37" s="28">
        <v>50890</v>
      </c>
      <c r="F37" s="36">
        <v>-5942</v>
      </c>
      <c r="G37" s="29">
        <v>9753623</v>
      </c>
      <c r="H37" s="25">
        <f>9753623-5007084</f>
        <v>4746539</v>
      </c>
      <c r="I37" s="34"/>
      <c r="J37" s="35">
        <f t="shared" si="9"/>
        <v>5007084</v>
      </c>
      <c r="K37" s="30">
        <f t="shared" si="2"/>
        <v>5007084</v>
      </c>
      <c r="L37" s="31">
        <v>5007084</v>
      </c>
      <c r="M37" s="30">
        <v>9809147</v>
      </c>
      <c r="N37" s="30">
        <f t="shared" si="5"/>
        <v>5885488.2000000002</v>
      </c>
      <c r="O37" s="30">
        <f t="shared" si="7"/>
        <v>10892572.199999999</v>
      </c>
      <c r="P37" s="31">
        <f t="shared" si="8"/>
        <v>2503542</v>
      </c>
      <c r="Q37" s="31">
        <f t="shared" si="6"/>
        <v>13396114.199999999</v>
      </c>
      <c r="R37" s="6"/>
      <c r="S37" s="33"/>
      <c r="T37" s="6"/>
      <c r="U37" s="6"/>
      <c r="W37" s="5"/>
    </row>
    <row r="38" spans="1:23" ht="15.75" x14ac:dyDescent="0.25">
      <c r="A38" s="25">
        <v>2018</v>
      </c>
      <c r="B38" s="25">
        <v>91273</v>
      </c>
      <c r="C38" s="25"/>
      <c r="D38" s="25"/>
      <c r="E38" s="28"/>
      <c r="F38" s="36">
        <v>-527156</v>
      </c>
      <c r="G38" s="29">
        <v>7727186</v>
      </c>
      <c r="H38" s="25">
        <f>7727186-5027505</f>
        <v>2699681</v>
      </c>
      <c r="I38" s="34"/>
      <c r="J38" s="35">
        <f t="shared" si="9"/>
        <v>5027505</v>
      </c>
      <c r="K38" s="30">
        <f t="shared" si="2"/>
        <v>5027505</v>
      </c>
      <c r="L38" s="31">
        <v>5027505</v>
      </c>
      <c r="M38" s="30">
        <v>9809147</v>
      </c>
      <c r="N38" s="30">
        <f t="shared" si="5"/>
        <v>5885488.2000000002</v>
      </c>
      <c r="O38" s="30">
        <f t="shared" si="7"/>
        <v>10912993.199999999</v>
      </c>
      <c r="P38" s="31">
        <f t="shared" si="8"/>
        <v>2513752.5</v>
      </c>
      <c r="Q38" s="31">
        <f t="shared" si="6"/>
        <v>13426745.699999999</v>
      </c>
      <c r="R38" s="6">
        <v>1549</v>
      </c>
      <c r="S38" s="33"/>
      <c r="T38" s="6"/>
      <c r="U38" s="6">
        <v>2018</v>
      </c>
      <c r="W38" s="5"/>
    </row>
    <row r="39" spans="1:23" ht="15.75" x14ac:dyDescent="0.25">
      <c r="A39" s="25">
        <v>2019</v>
      </c>
      <c r="B39" s="25">
        <v>129815</v>
      </c>
      <c r="C39" s="25">
        <v>14575</v>
      </c>
      <c r="D39" s="25"/>
      <c r="E39" s="28">
        <v>14575</v>
      </c>
      <c r="F39" s="36">
        <v>-251582</v>
      </c>
      <c r="G39" s="29"/>
      <c r="H39" s="25"/>
      <c r="I39" s="34"/>
      <c r="J39" s="35">
        <v>1033030</v>
      </c>
      <c r="K39" s="30">
        <f t="shared" si="2"/>
        <v>1033030</v>
      </c>
      <c r="L39" s="31">
        <v>5038622</v>
      </c>
      <c r="M39" s="30">
        <v>9809147</v>
      </c>
      <c r="N39" s="30">
        <f t="shared" si="5"/>
        <v>5885488.2000000002</v>
      </c>
      <c r="O39" s="30">
        <f t="shared" si="7"/>
        <v>6918518.2000000002</v>
      </c>
      <c r="P39" s="31">
        <f t="shared" si="8"/>
        <v>2519311</v>
      </c>
      <c r="Q39" s="31">
        <f t="shared" si="6"/>
        <v>9437829.1999999993</v>
      </c>
      <c r="R39" s="6">
        <v>1372</v>
      </c>
      <c r="S39" s="33"/>
      <c r="T39" s="6"/>
      <c r="U39" s="6">
        <v>2019</v>
      </c>
      <c r="W39" s="5"/>
    </row>
    <row r="40" spans="1:23" ht="15.75" x14ac:dyDescent="0.25">
      <c r="A40" s="25">
        <v>2020</v>
      </c>
      <c r="B40" s="25">
        <v>132177</v>
      </c>
      <c r="C40" s="25">
        <v>4033</v>
      </c>
      <c r="D40" s="25"/>
      <c r="E40" s="28">
        <v>4033</v>
      </c>
      <c r="F40" s="37">
        <v>-3179966</v>
      </c>
      <c r="G40" s="29"/>
      <c r="H40" s="25"/>
      <c r="I40" s="34"/>
      <c r="J40" s="30">
        <v>-2141936</v>
      </c>
      <c r="K40" s="30">
        <f t="shared" si="2"/>
        <v>-2141936</v>
      </c>
      <c r="L40" s="31">
        <v>5038241</v>
      </c>
      <c r="M40" s="30">
        <v>9809147</v>
      </c>
      <c r="N40" s="30"/>
      <c r="O40" s="30"/>
      <c r="P40" s="31"/>
      <c r="Q40" s="31"/>
      <c r="R40" s="6">
        <v>1297</v>
      </c>
      <c r="S40" s="33"/>
      <c r="T40" s="6"/>
      <c r="U40" s="6">
        <v>2020</v>
      </c>
      <c r="W40" s="5"/>
    </row>
    <row r="41" spans="1:23" ht="15.75" x14ac:dyDescent="0.25">
      <c r="A41" s="25">
        <v>2021</v>
      </c>
      <c r="B41" s="25">
        <v>139997</v>
      </c>
      <c r="C41" s="25">
        <v>0</v>
      </c>
      <c r="D41" s="25"/>
      <c r="E41" s="28">
        <v>0</v>
      </c>
      <c r="F41" s="36">
        <v>2118409</v>
      </c>
      <c r="G41" s="29"/>
      <c r="H41" s="25"/>
      <c r="I41" s="34"/>
      <c r="J41" s="30">
        <v>-566645</v>
      </c>
      <c r="K41" s="30">
        <f t="shared" si="2"/>
        <v>-566645</v>
      </c>
      <c r="L41" s="31">
        <v>5027170</v>
      </c>
      <c r="M41" s="30">
        <v>9809147</v>
      </c>
      <c r="N41" s="30"/>
      <c r="O41" s="30"/>
      <c r="P41" s="31"/>
      <c r="Q41" s="31"/>
      <c r="R41" s="6">
        <v>1141</v>
      </c>
      <c r="S41" s="33"/>
      <c r="T41" s="6"/>
      <c r="U41" s="6">
        <v>2021</v>
      </c>
      <c r="W41" s="5"/>
    </row>
    <row r="42" spans="1:23" ht="15.75" x14ac:dyDescent="0.25">
      <c r="A42" s="25">
        <v>2022</v>
      </c>
      <c r="B42" s="25">
        <v>139636</v>
      </c>
      <c r="C42" s="25">
        <v>47523</v>
      </c>
      <c r="D42" s="25"/>
      <c r="E42" s="28"/>
      <c r="F42" s="36">
        <v>-553482</v>
      </c>
      <c r="G42" s="29"/>
      <c r="H42" s="25"/>
      <c r="I42" s="81" t="s">
        <v>0</v>
      </c>
      <c r="J42" s="81"/>
      <c r="K42" s="30">
        <v>178178</v>
      </c>
      <c r="L42" s="31">
        <v>4997170</v>
      </c>
      <c r="M42" s="30">
        <v>9809147</v>
      </c>
      <c r="N42" s="43">
        <v>2306389</v>
      </c>
      <c r="O42" s="43">
        <f t="shared" si="7"/>
        <v>2484567</v>
      </c>
      <c r="P42" s="44">
        <f>50%*L42</f>
        <v>2498585</v>
      </c>
      <c r="Q42" s="44">
        <f t="shared" si="6"/>
        <v>4983152</v>
      </c>
      <c r="R42" s="6">
        <v>1000</v>
      </c>
      <c r="S42" s="33"/>
      <c r="T42" s="6"/>
      <c r="U42" s="6">
        <v>2022</v>
      </c>
      <c r="W42" s="3"/>
    </row>
    <row r="43" spans="1:23" ht="15.75" x14ac:dyDescent="0.25">
      <c r="A43" s="25"/>
      <c r="B43" s="25"/>
      <c r="C43" s="25"/>
      <c r="D43" s="25"/>
      <c r="E43" s="28"/>
      <c r="F43" s="36"/>
      <c r="G43" s="29"/>
      <c r="H43" s="25"/>
      <c r="I43" s="47"/>
      <c r="J43" s="47"/>
      <c r="K43" s="30"/>
      <c r="L43" s="31"/>
      <c r="M43" s="30"/>
      <c r="N43" s="54"/>
      <c r="O43" s="54"/>
      <c r="P43" s="44"/>
      <c r="Q43" s="55"/>
      <c r="R43" s="6"/>
      <c r="S43" s="33"/>
      <c r="T43" s="6"/>
      <c r="U43" s="6"/>
      <c r="W43" s="3"/>
    </row>
    <row r="44" spans="1:23" ht="16.5" thickBot="1" x14ac:dyDescent="0.3">
      <c r="A44" s="25">
        <v>2022</v>
      </c>
      <c r="B44" s="25">
        <v>139636</v>
      </c>
      <c r="C44" s="25">
        <v>47523</v>
      </c>
      <c r="D44" s="25"/>
      <c r="E44" s="28">
        <v>47523</v>
      </c>
      <c r="F44" s="37">
        <v>-553482</v>
      </c>
      <c r="G44" s="29"/>
      <c r="H44" s="25"/>
      <c r="I44" s="82" t="s">
        <v>1</v>
      </c>
      <c r="J44" s="82"/>
      <c r="K44" s="30">
        <f>178178</f>
        <v>178178</v>
      </c>
      <c r="L44" s="31">
        <v>4997170</v>
      </c>
      <c r="M44" s="30">
        <v>9809147</v>
      </c>
      <c r="N44" s="51">
        <f>E45</f>
        <v>4115224.7535270192</v>
      </c>
      <c r="O44" s="52">
        <f t="shared" si="7"/>
        <v>4293402.7535270192</v>
      </c>
      <c r="P44" s="56">
        <f>50%*L44</f>
        <v>2498585</v>
      </c>
      <c r="Q44" s="38">
        <f t="shared" si="6"/>
        <v>6791987.7535270192</v>
      </c>
      <c r="R44" s="6">
        <v>1000</v>
      </c>
      <c r="S44" s="33"/>
      <c r="T44" s="6"/>
      <c r="U44" s="6">
        <v>2022</v>
      </c>
    </row>
    <row r="45" spans="1:23" ht="16.5" thickBot="1" x14ac:dyDescent="0.3">
      <c r="A45" s="8"/>
      <c r="B45" s="8"/>
      <c r="C45" s="8"/>
      <c r="D45" s="8"/>
      <c r="E45" s="48">
        <f>SUM(E9:E44)</f>
        <v>4115224.7535270192</v>
      </c>
      <c r="F45" s="24"/>
      <c r="G45" s="27"/>
      <c r="H45" s="8"/>
      <c r="I45" s="79" t="s">
        <v>9</v>
      </c>
      <c r="J45" s="80"/>
      <c r="K45" s="39"/>
      <c r="L45" s="40"/>
      <c r="M45" s="40"/>
      <c r="N45" s="41">
        <f>N44-N42</f>
        <v>1808835.7535270192</v>
      </c>
      <c r="O45" s="41">
        <f>O44-O42</f>
        <v>1808835.7535270192</v>
      </c>
      <c r="P45" s="42"/>
      <c r="Q45" s="41">
        <f t="shared" ref="Q45" si="10">Q44-Q42</f>
        <v>1808835.7535270192</v>
      </c>
      <c r="R45" s="6"/>
      <c r="S45" s="7"/>
      <c r="T45" s="6"/>
      <c r="U45" s="6"/>
    </row>
    <row r="46" spans="1:23" x14ac:dyDescent="0.25">
      <c r="F46" s="17"/>
    </row>
    <row r="47" spans="1:23" x14ac:dyDescent="0.25">
      <c r="F47" s="17"/>
      <c r="I47" t="s">
        <v>12</v>
      </c>
    </row>
    <row r="48" spans="1:23" ht="18.75" x14ac:dyDescent="0.3">
      <c r="A48" s="13"/>
      <c r="B48" s="13"/>
      <c r="C48" s="13"/>
      <c r="D48" s="13"/>
      <c r="E48" s="13"/>
      <c r="F48" s="18" t="s">
        <v>46</v>
      </c>
      <c r="G48" s="13"/>
      <c r="H48" s="13"/>
      <c r="I48" s="14"/>
      <c r="J48" s="14"/>
      <c r="K48" s="14"/>
      <c r="L48" s="14"/>
      <c r="M48" s="14"/>
      <c r="N48" s="14"/>
      <c r="O48" s="14" t="s">
        <v>51</v>
      </c>
      <c r="P48" s="14"/>
      <c r="Q48" s="53">
        <v>4293403</v>
      </c>
      <c r="R48" s="14"/>
    </row>
    <row r="49" spans="1:18" ht="18.75" x14ac:dyDescent="0.3">
      <c r="A49" s="13"/>
      <c r="B49" s="13">
        <v>2014</v>
      </c>
      <c r="C49" s="13"/>
      <c r="D49" s="13"/>
      <c r="E49" s="13"/>
      <c r="F49" s="18"/>
      <c r="G49" s="13"/>
      <c r="H49" s="13"/>
      <c r="I49" s="14"/>
      <c r="J49" s="14"/>
      <c r="K49" s="14"/>
      <c r="L49" s="14"/>
      <c r="M49" s="14"/>
      <c r="N49" s="14"/>
      <c r="O49" s="14" t="s">
        <v>58</v>
      </c>
      <c r="P49" s="14"/>
      <c r="Q49" s="14">
        <v>850000</v>
      </c>
      <c r="R49" s="14" t="s">
        <v>64</v>
      </c>
    </row>
    <row r="50" spans="1:18" ht="18.75" x14ac:dyDescent="0.3">
      <c r="A50" s="15" t="s">
        <v>43</v>
      </c>
      <c r="B50" s="13"/>
      <c r="C50" s="13"/>
      <c r="D50" s="13"/>
      <c r="E50" s="13"/>
      <c r="F50" s="19">
        <v>400000</v>
      </c>
      <c r="G50" s="13"/>
      <c r="H50" s="13"/>
      <c r="I50" s="14" t="s">
        <v>21</v>
      </c>
      <c r="J50" s="14" t="s">
        <v>23</v>
      </c>
      <c r="K50" s="14"/>
      <c r="L50" s="14"/>
      <c r="M50" s="14"/>
      <c r="N50" s="14"/>
      <c r="O50" s="14" t="s">
        <v>49</v>
      </c>
      <c r="P50" s="14"/>
      <c r="Q50" s="14"/>
      <c r="R50" s="14"/>
    </row>
    <row r="51" spans="1:18" ht="18.75" x14ac:dyDescent="0.3">
      <c r="A51" s="15" t="s">
        <v>44</v>
      </c>
      <c r="B51" s="13"/>
      <c r="C51" s="13"/>
      <c r="D51" s="13"/>
      <c r="E51" s="13"/>
      <c r="F51" s="19">
        <v>550000</v>
      </c>
      <c r="G51" s="13"/>
      <c r="H51" s="13"/>
      <c r="I51" s="14"/>
      <c r="J51" s="14"/>
      <c r="K51" s="14"/>
      <c r="L51" s="14"/>
      <c r="M51" s="14"/>
      <c r="N51" s="14"/>
      <c r="O51" s="14" t="s">
        <v>50</v>
      </c>
      <c r="P51" s="14"/>
      <c r="Q51" s="14">
        <v>1000000</v>
      </c>
      <c r="R51" s="14" t="s">
        <v>63</v>
      </c>
    </row>
    <row r="52" spans="1:18" ht="18.75" x14ac:dyDescent="0.3">
      <c r="A52" s="15" t="s">
        <v>45</v>
      </c>
      <c r="B52" s="13"/>
      <c r="C52" s="13"/>
      <c r="D52" s="13"/>
      <c r="E52" s="13"/>
      <c r="F52" s="19">
        <v>700000</v>
      </c>
      <c r="G52" s="13"/>
      <c r="H52" s="13"/>
      <c r="I52" s="14"/>
      <c r="J52" s="14"/>
      <c r="K52" s="14"/>
      <c r="L52" s="14"/>
      <c r="M52" s="14"/>
      <c r="N52" s="14"/>
      <c r="O52" s="14" t="s">
        <v>57</v>
      </c>
      <c r="P52" s="14"/>
      <c r="Q52" s="14"/>
      <c r="R52" s="14"/>
    </row>
    <row r="53" spans="1:18" ht="18.75" x14ac:dyDescent="0.3">
      <c r="A53" s="15"/>
      <c r="B53" s="13"/>
      <c r="C53" s="13"/>
      <c r="D53" s="13"/>
      <c r="E53" s="13"/>
      <c r="F53" s="19"/>
      <c r="G53" s="13"/>
      <c r="H53" s="13"/>
      <c r="I53" s="14"/>
      <c r="J53" s="14"/>
      <c r="K53" s="14"/>
      <c r="L53" s="14"/>
      <c r="M53" s="14"/>
      <c r="N53" s="14"/>
      <c r="O53" s="14" t="s">
        <v>59</v>
      </c>
      <c r="P53" s="14"/>
      <c r="Q53" s="14">
        <f>5*194000</f>
        <v>970000</v>
      </c>
      <c r="R53" s="14" t="s">
        <v>62</v>
      </c>
    </row>
    <row r="54" spans="1:18" ht="18.75" x14ac:dyDescent="0.3">
      <c r="A54" s="15"/>
      <c r="B54" s="13"/>
      <c r="C54" s="13"/>
      <c r="D54" s="13"/>
      <c r="E54" s="13"/>
      <c r="F54" s="19"/>
      <c r="G54" s="13"/>
      <c r="H54" s="13"/>
      <c r="I54" s="14"/>
      <c r="J54" s="14"/>
      <c r="K54" s="14"/>
      <c r="L54" s="14"/>
      <c r="M54" s="14"/>
      <c r="N54" s="14"/>
      <c r="O54" s="14" t="s">
        <v>65</v>
      </c>
      <c r="P54" s="14"/>
      <c r="Q54" s="14">
        <v>600000</v>
      </c>
      <c r="R54" s="14"/>
    </row>
    <row r="55" spans="1:18" ht="18.75" x14ac:dyDescent="0.3">
      <c r="A55" s="15"/>
      <c r="B55" s="13"/>
      <c r="C55" s="13"/>
      <c r="D55" s="13"/>
      <c r="E55" s="13"/>
      <c r="F55" s="19"/>
      <c r="G55" s="13"/>
      <c r="H55" s="13"/>
      <c r="I55" s="14"/>
      <c r="J55" s="14"/>
      <c r="K55" s="14"/>
      <c r="L55" s="14"/>
      <c r="M55" s="14"/>
      <c r="N55" s="14"/>
      <c r="O55" s="14" t="s">
        <v>60</v>
      </c>
      <c r="P55" s="14"/>
      <c r="Q55" s="14">
        <v>500000</v>
      </c>
      <c r="R55" s="14"/>
    </row>
    <row r="56" spans="1:18" ht="18.75" x14ac:dyDescent="0.3">
      <c r="A56" s="15"/>
      <c r="B56" s="13"/>
      <c r="C56" s="13"/>
      <c r="D56" s="13"/>
      <c r="E56" s="13"/>
      <c r="F56" s="19"/>
      <c r="G56" s="13"/>
      <c r="H56" s="13"/>
      <c r="I56" s="14"/>
      <c r="J56" s="14"/>
      <c r="K56" s="14"/>
      <c r="L56" s="14"/>
      <c r="M56" s="14"/>
      <c r="N56" s="14"/>
      <c r="O56" s="14" t="s">
        <v>61</v>
      </c>
      <c r="P56" s="14"/>
      <c r="Q56" s="14">
        <v>40000</v>
      </c>
      <c r="R56" s="14"/>
    </row>
    <row r="57" spans="1:18" ht="18.75" x14ac:dyDescent="0.3">
      <c r="A57" s="15" t="s">
        <v>20</v>
      </c>
      <c r="B57" s="13"/>
      <c r="C57" s="13"/>
      <c r="D57" s="13"/>
      <c r="E57" s="13"/>
      <c r="F57" s="20">
        <v>75000</v>
      </c>
      <c r="G57" s="13"/>
      <c r="H57" s="13"/>
      <c r="I57" s="14" t="s">
        <v>22</v>
      </c>
      <c r="J57" s="14" t="s">
        <v>14</v>
      </c>
      <c r="K57" s="14"/>
      <c r="L57" s="14"/>
      <c r="M57" s="14"/>
      <c r="N57" s="14"/>
      <c r="O57" s="14"/>
      <c r="P57" s="14"/>
      <c r="Q57" s="16">
        <f>SUM(Q48:Q56)</f>
        <v>8253403</v>
      </c>
      <c r="R57" s="14"/>
    </row>
    <row r="58" spans="1:18" ht="18.75" x14ac:dyDescent="0.3">
      <c r="A58" s="13"/>
      <c r="B58" s="13"/>
      <c r="C58" s="13"/>
      <c r="D58" s="13"/>
      <c r="E58" s="13"/>
      <c r="F58" s="19">
        <f>SUM(F50:F57)</f>
        <v>1725000</v>
      </c>
      <c r="G58" s="13"/>
      <c r="H58" s="13"/>
      <c r="I58" s="14"/>
      <c r="J58" s="14"/>
      <c r="K58" s="14"/>
      <c r="L58" s="14"/>
      <c r="M58" s="14"/>
      <c r="N58" s="14"/>
      <c r="O58" s="14" t="s">
        <v>54</v>
      </c>
      <c r="P58" s="14"/>
      <c r="Q58" s="57" t="s">
        <v>67</v>
      </c>
      <c r="R58" s="14"/>
    </row>
    <row r="59" spans="1:18" ht="18.75" x14ac:dyDescent="0.3">
      <c r="A59" s="13"/>
      <c r="B59" s="13"/>
      <c r="C59" s="13"/>
      <c r="D59" s="13"/>
      <c r="E59" s="13"/>
      <c r="F59" s="13"/>
      <c r="G59" s="13"/>
      <c r="H59" s="13"/>
      <c r="I59" s="14" t="s">
        <v>24</v>
      </c>
      <c r="J59" s="14" t="s">
        <v>25</v>
      </c>
      <c r="K59" s="14"/>
      <c r="L59" s="14"/>
      <c r="M59" s="14"/>
      <c r="N59" s="14"/>
      <c r="O59" s="50" t="s">
        <v>55</v>
      </c>
      <c r="P59" s="50"/>
      <c r="Q59" s="50">
        <f>Q57</f>
        <v>8253403</v>
      </c>
      <c r="R59" s="14"/>
    </row>
    <row r="60" spans="1:18" ht="18.75" x14ac:dyDescent="0.3">
      <c r="A60" s="13"/>
      <c r="B60" s="13"/>
      <c r="C60" s="13"/>
      <c r="D60" s="13"/>
      <c r="E60" s="13"/>
      <c r="F60" s="13"/>
      <c r="G60" s="13"/>
      <c r="H60" s="13"/>
      <c r="I60" s="14"/>
      <c r="J60" s="14"/>
      <c r="K60" s="14"/>
      <c r="L60" s="14"/>
      <c r="M60" s="14"/>
      <c r="N60" s="14"/>
      <c r="O60" s="14"/>
      <c r="P60" s="14"/>
      <c r="Q60" s="14"/>
      <c r="R60" s="14"/>
    </row>
    <row r="61" spans="1:18" ht="18.75" x14ac:dyDescent="0.3">
      <c r="A61" s="13"/>
      <c r="B61" s="13"/>
      <c r="C61" s="13"/>
      <c r="D61" s="13"/>
      <c r="E61" s="13"/>
      <c r="F61" s="13"/>
      <c r="G61" s="13"/>
      <c r="H61" s="13"/>
      <c r="I61" s="14" t="s">
        <v>26</v>
      </c>
      <c r="J61" s="14"/>
      <c r="K61" s="14"/>
      <c r="L61" s="14"/>
      <c r="M61" s="14"/>
      <c r="N61" s="14"/>
      <c r="O61" s="14"/>
      <c r="P61" s="14"/>
      <c r="Q61" s="14"/>
      <c r="R61" s="14"/>
    </row>
    <row r="62" spans="1:18" ht="18.75" x14ac:dyDescent="0.3">
      <c r="A62" s="13"/>
      <c r="B62" s="13"/>
      <c r="C62" s="13"/>
      <c r="D62" s="13"/>
      <c r="E62" s="13"/>
      <c r="F62" s="13"/>
      <c r="G62" s="13"/>
      <c r="H62" s="13"/>
      <c r="I62" s="14" t="s">
        <v>27</v>
      </c>
      <c r="J62" s="14"/>
      <c r="K62" s="14"/>
      <c r="L62" s="14"/>
      <c r="M62" s="14"/>
      <c r="N62" s="14"/>
      <c r="O62" s="14"/>
      <c r="P62" s="14"/>
      <c r="Q62" s="14"/>
      <c r="R62" s="14"/>
    </row>
    <row r="63" spans="1:18" ht="18.75" x14ac:dyDescent="0.3">
      <c r="A63" s="13"/>
      <c r="B63" s="13"/>
      <c r="C63" s="13"/>
      <c r="D63" s="13"/>
      <c r="E63" s="13"/>
      <c r="F63" s="13"/>
      <c r="G63" s="13"/>
      <c r="H63" s="13"/>
      <c r="I63" s="14"/>
      <c r="J63" s="14"/>
      <c r="K63" s="14"/>
      <c r="L63" s="14"/>
      <c r="M63" s="14"/>
      <c r="N63" s="14"/>
      <c r="O63" s="14"/>
      <c r="P63" s="14"/>
      <c r="Q63" s="14"/>
      <c r="R63" s="14"/>
    </row>
    <row r="64" spans="1:18" ht="18.75" x14ac:dyDescent="0.3">
      <c r="A64" s="13"/>
      <c r="B64" s="13"/>
      <c r="C64" s="13"/>
      <c r="D64" s="13"/>
      <c r="E64" s="13"/>
      <c r="F64" s="13"/>
      <c r="G64" s="13"/>
      <c r="H64" s="13"/>
      <c r="I64" s="14" t="s">
        <v>66</v>
      </c>
      <c r="J64" s="14"/>
      <c r="K64" s="14"/>
      <c r="L64" s="14"/>
      <c r="M64" s="14"/>
      <c r="N64" s="14"/>
      <c r="O64" s="14"/>
      <c r="P64" s="14"/>
      <c r="Q64" s="14"/>
      <c r="R64" s="14"/>
    </row>
    <row r="65" spans="1:22" ht="18.75" x14ac:dyDescent="0.3">
      <c r="A65" s="13"/>
      <c r="B65" s="13"/>
      <c r="C65" s="13"/>
      <c r="D65" s="13"/>
      <c r="E65" s="13"/>
      <c r="F65" s="13"/>
      <c r="G65" s="13"/>
      <c r="H65" s="13"/>
      <c r="I65" s="14" t="s">
        <v>28</v>
      </c>
      <c r="J65" s="14"/>
      <c r="K65" s="14"/>
      <c r="L65" s="14"/>
      <c r="M65" s="14"/>
      <c r="N65" s="14"/>
      <c r="O65" s="14"/>
      <c r="P65" s="14"/>
      <c r="Q65" s="14"/>
      <c r="R65" s="14"/>
    </row>
    <row r="66" spans="1:22" ht="18.75" x14ac:dyDescent="0.3">
      <c r="A66" s="13"/>
      <c r="B66" s="13"/>
      <c r="C66" s="13"/>
      <c r="D66" s="13"/>
      <c r="E66" s="13"/>
      <c r="F66" s="13"/>
      <c r="G66" s="13"/>
      <c r="H66" s="13"/>
      <c r="I66" s="14"/>
      <c r="J66" s="14"/>
      <c r="K66" s="14"/>
      <c r="L66" s="14"/>
      <c r="M66" s="14"/>
      <c r="N66" s="14"/>
      <c r="O66" s="14"/>
      <c r="P66" s="14"/>
      <c r="Q66" s="14"/>
      <c r="R66" s="14"/>
    </row>
    <row r="68" spans="1:22" ht="23.25" x14ac:dyDescent="0.35">
      <c r="A68" s="77" t="s">
        <v>36</v>
      </c>
      <c r="B68" s="77"/>
      <c r="C68" s="77"/>
      <c r="D68" s="77"/>
      <c r="E68" s="77"/>
      <c r="F68" s="9"/>
      <c r="G68" s="9"/>
      <c r="H68" s="9"/>
      <c r="I68" s="10"/>
      <c r="J68" s="10"/>
      <c r="K68" s="10"/>
      <c r="L68" s="10"/>
      <c r="M68" s="10"/>
      <c r="N68" s="10"/>
      <c r="O68" s="10"/>
      <c r="P68" s="10"/>
      <c r="Q68" s="10"/>
      <c r="R68" s="10"/>
      <c r="S68" s="11"/>
      <c r="T68" s="10"/>
      <c r="U68" s="10"/>
      <c r="V68" s="10"/>
    </row>
    <row r="69" spans="1:22" ht="23.25" x14ac:dyDescent="0.35">
      <c r="A69" s="9"/>
      <c r="B69" s="9"/>
      <c r="C69" s="9"/>
      <c r="D69" s="9"/>
      <c r="E69" s="9"/>
      <c r="F69" s="9"/>
      <c r="G69" s="9"/>
      <c r="H69" s="9"/>
      <c r="I69" s="10"/>
      <c r="J69" s="10"/>
      <c r="K69" s="10"/>
      <c r="L69" s="10"/>
      <c r="M69" s="10"/>
      <c r="N69" s="10"/>
      <c r="O69" s="10"/>
      <c r="P69" s="10"/>
      <c r="Q69" s="10"/>
      <c r="R69" s="10"/>
      <c r="S69" s="11"/>
      <c r="T69" s="10"/>
      <c r="U69" s="10"/>
      <c r="V69" s="10"/>
    </row>
    <row r="70" spans="1:22" ht="23.25" x14ac:dyDescent="0.35">
      <c r="A70" s="12" t="s">
        <v>37</v>
      </c>
      <c r="B70" s="9"/>
      <c r="C70" s="9"/>
      <c r="D70" s="9"/>
      <c r="E70" s="9"/>
      <c r="F70" s="9"/>
      <c r="G70" s="9"/>
      <c r="H70" s="9"/>
      <c r="I70" s="10"/>
      <c r="J70" s="10"/>
      <c r="K70" s="10"/>
      <c r="L70" s="10"/>
      <c r="M70" s="10"/>
      <c r="N70" s="10"/>
      <c r="O70" s="10"/>
      <c r="P70" s="10"/>
      <c r="Q70" s="10"/>
      <c r="R70" s="10"/>
      <c r="S70" s="11"/>
      <c r="T70" s="10"/>
      <c r="U70" s="10"/>
      <c r="V70" s="10"/>
    </row>
    <row r="71" spans="1:22" ht="23.25" x14ac:dyDescent="0.35">
      <c r="A71" s="78" t="s">
        <v>56</v>
      </c>
      <c r="B71" s="78"/>
      <c r="C71" s="78"/>
      <c r="D71" s="78"/>
      <c r="E71" s="78"/>
      <c r="F71" s="78"/>
      <c r="G71" s="78"/>
      <c r="H71" s="78"/>
      <c r="I71" s="78"/>
      <c r="J71" s="78"/>
      <c r="K71" s="78"/>
      <c r="L71" s="78"/>
      <c r="M71" s="78"/>
      <c r="N71" s="78"/>
      <c r="O71" s="78"/>
      <c r="P71" s="78"/>
      <c r="Q71" s="78"/>
      <c r="R71" s="10"/>
      <c r="S71" s="11"/>
      <c r="T71" s="10"/>
      <c r="U71" s="10"/>
      <c r="V71" s="10"/>
    </row>
    <row r="72" spans="1:22" ht="23.25" x14ac:dyDescent="0.35">
      <c r="A72" s="78" t="s">
        <v>38</v>
      </c>
      <c r="B72" s="78"/>
      <c r="C72" s="78"/>
      <c r="D72" s="78"/>
      <c r="E72" s="78"/>
      <c r="F72" s="78"/>
      <c r="G72" s="78"/>
      <c r="H72" s="78"/>
      <c r="I72" s="78"/>
      <c r="J72" s="78"/>
      <c r="K72" s="78"/>
      <c r="L72" s="10"/>
      <c r="M72" s="10"/>
      <c r="N72" s="10"/>
      <c r="O72" s="10"/>
      <c r="P72" s="10"/>
      <c r="Q72" s="10"/>
      <c r="R72" s="10"/>
      <c r="S72" s="11"/>
      <c r="T72" s="10"/>
      <c r="U72" s="10"/>
      <c r="V72" s="10"/>
    </row>
    <row r="73" spans="1:22" ht="23.25" x14ac:dyDescent="0.35">
      <c r="A73" s="78" t="s">
        <v>40</v>
      </c>
      <c r="B73" s="78"/>
      <c r="C73" s="78"/>
      <c r="D73" s="78"/>
      <c r="E73" s="78"/>
      <c r="F73" s="78"/>
      <c r="G73" s="78"/>
      <c r="H73" s="78"/>
      <c r="I73" s="78"/>
      <c r="J73" s="78"/>
      <c r="K73" s="78"/>
      <c r="L73" s="78"/>
      <c r="M73" s="78"/>
      <c r="N73" s="78"/>
      <c r="O73" s="78"/>
      <c r="P73" s="78"/>
      <c r="Q73" s="78"/>
      <c r="R73" s="78"/>
      <c r="S73" s="78"/>
      <c r="T73" s="78"/>
      <c r="U73" s="78"/>
      <c r="V73" s="78"/>
    </row>
    <row r="74" spans="1:22" ht="23.25" x14ac:dyDescent="0.35">
      <c r="A74" s="78" t="s">
        <v>41</v>
      </c>
      <c r="B74" s="78"/>
      <c r="C74" s="78"/>
      <c r="D74" s="78"/>
      <c r="E74" s="78"/>
      <c r="F74" s="78"/>
      <c r="G74" s="78"/>
      <c r="H74" s="78"/>
      <c r="I74" s="78"/>
      <c r="J74" s="78"/>
      <c r="K74" s="78"/>
      <c r="L74" s="78"/>
      <c r="M74" s="78"/>
      <c r="N74" s="10"/>
      <c r="O74" s="10"/>
      <c r="P74" s="10"/>
      <c r="Q74" s="10"/>
      <c r="R74" s="10"/>
      <c r="S74" s="11"/>
      <c r="T74" s="10"/>
      <c r="U74" s="10"/>
      <c r="V74" s="10"/>
    </row>
    <row r="75" spans="1:22" ht="23.25" x14ac:dyDescent="0.35">
      <c r="A75" s="89" t="s">
        <v>42</v>
      </c>
      <c r="B75" s="89"/>
      <c r="C75" s="89"/>
      <c r="D75" s="89"/>
      <c r="E75" s="89"/>
      <c r="F75" s="89"/>
      <c r="G75" s="89"/>
      <c r="H75" s="89"/>
      <c r="I75" s="89"/>
      <c r="J75" s="89"/>
      <c r="K75" s="89"/>
      <c r="L75" s="89"/>
      <c r="M75" s="89"/>
      <c r="N75" s="89"/>
      <c r="O75" s="89"/>
      <c r="P75" s="10"/>
      <c r="Q75" s="10"/>
      <c r="R75" s="10"/>
      <c r="S75" s="11"/>
      <c r="T75" s="10"/>
      <c r="U75" s="10"/>
      <c r="V75" s="10"/>
    </row>
    <row r="76" spans="1:22" ht="23.25" x14ac:dyDescent="0.35">
      <c r="A76" s="9"/>
      <c r="B76" s="9"/>
      <c r="C76" s="9"/>
      <c r="D76" s="9"/>
      <c r="E76" s="9"/>
      <c r="F76" s="9"/>
      <c r="G76" s="9"/>
      <c r="H76" s="9"/>
      <c r="I76" s="10"/>
      <c r="J76" s="10"/>
      <c r="K76" s="10"/>
      <c r="L76" s="10"/>
      <c r="M76" s="10"/>
      <c r="N76" s="10"/>
      <c r="O76" s="10"/>
      <c r="P76" s="10"/>
      <c r="Q76" s="10"/>
      <c r="R76" s="10"/>
      <c r="S76" s="11"/>
      <c r="T76" s="10"/>
      <c r="U76" s="10"/>
      <c r="V76" s="10"/>
    </row>
    <row r="77" spans="1:22" ht="23.25" x14ac:dyDescent="0.35">
      <c r="A77" s="78" t="s">
        <v>52</v>
      </c>
      <c r="B77" s="78"/>
      <c r="C77" s="78"/>
      <c r="D77" s="78"/>
      <c r="E77" s="78"/>
      <c r="F77" s="78"/>
      <c r="G77" s="78"/>
      <c r="H77" s="78"/>
      <c r="I77" s="78"/>
      <c r="J77" s="78"/>
      <c r="K77" s="78"/>
      <c r="L77" s="78"/>
      <c r="M77" s="78"/>
      <c r="N77" s="78"/>
      <c r="O77" s="78"/>
      <c r="P77" s="10"/>
      <c r="Q77" s="10"/>
      <c r="R77" s="10"/>
      <c r="S77" s="11"/>
      <c r="T77" s="10"/>
      <c r="U77" s="10"/>
      <c r="V77" s="10"/>
    </row>
    <row r="78" spans="1:22" ht="23.25" x14ac:dyDescent="0.35">
      <c r="A78" s="78" t="s">
        <v>39</v>
      </c>
      <c r="B78" s="78"/>
      <c r="C78" s="78"/>
      <c r="D78" s="78"/>
      <c r="E78" s="78"/>
      <c r="F78" s="78"/>
      <c r="G78" s="78"/>
      <c r="H78" s="78"/>
      <c r="I78" s="78"/>
      <c r="J78" s="78"/>
      <c r="K78" s="78"/>
      <c r="L78" s="78"/>
      <c r="M78" s="78"/>
      <c r="N78" s="78"/>
      <c r="O78" s="78"/>
      <c r="P78" s="78"/>
      <c r="Q78" s="78"/>
      <c r="R78" s="10"/>
      <c r="S78" s="11"/>
      <c r="T78" s="10"/>
      <c r="U78" s="10"/>
      <c r="V78" s="10"/>
    </row>
  </sheetData>
  <mergeCells count="25">
    <mergeCell ref="A78:Q78"/>
    <mergeCell ref="A73:V73"/>
    <mergeCell ref="A74:M74"/>
    <mergeCell ref="A75:O75"/>
    <mergeCell ref="A72:K72"/>
    <mergeCell ref="A77:O77"/>
    <mergeCell ref="B2:B3"/>
    <mergeCell ref="A68:E68"/>
    <mergeCell ref="A71:Q71"/>
    <mergeCell ref="I45:J45"/>
    <mergeCell ref="A2:A5"/>
    <mergeCell ref="I42:J42"/>
    <mergeCell ref="I44:J44"/>
    <mergeCell ref="I1:I5"/>
    <mergeCell ref="J2:J4"/>
    <mergeCell ref="K2:K5"/>
    <mergeCell ref="B16:C18"/>
    <mergeCell ref="R2:R6"/>
    <mergeCell ref="S2:S6"/>
    <mergeCell ref="O2:O5"/>
    <mergeCell ref="L1:L4"/>
    <mergeCell ref="P2:P7"/>
    <mergeCell ref="Q2:Q10"/>
    <mergeCell ref="M2:M8"/>
    <mergeCell ref="N1:N10"/>
  </mergeCells>
  <pageMargins left="0.70866141732283472" right="0.70866141732283472" top="0.74803149606299213" bottom="0.74803149606299213" header="0.31496062992125984" footer="0.31496062992125984"/>
  <pageSetup paperSize="9" scale="39" orientation="landscape" horizontalDpi="4294967295" verticalDpi="4294967295"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1</vt:i4>
      </vt:variant>
    </vt:vector>
  </HeadingPairs>
  <TitlesOfParts>
    <vt:vector size="1" baseType="lpstr">
      <vt:lpstr>Blad1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Barn</dc:creator>
  <cp:lastModifiedBy>beheerder</cp:lastModifiedBy>
  <cp:lastPrinted>2024-03-11T13:06:50Z</cp:lastPrinted>
  <dcterms:created xsi:type="dcterms:W3CDTF">2024-03-01T14:50:35Z</dcterms:created>
  <dcterms:modified xsi:type="dcterms:W3CDTF">2024-10-29T15:51:40Z</dcterms:modified>
</cp:coreProperties>
</file>